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codeName="ThisWorkbook"/>
  <mc:AlternateContent xmlns:mc="http://schemas.openxmlformats.org/markup-compatibility/2006">
    <mc:Choice Requires="x15">
      <x15ac:absPath xmlns:x15ac="http://schemas.microsoft.com/office/spreadsheetml/2010/11/ac" url="C:\Users\お客様\Desktop\"/>
    </mc:Choice>
  </mc:AlternateContent>
  <xr:revisionPtr revIDLastSave="0" documentId="13_ncr:1_{4118C4B8-4409-4175-B8CC-9D59D35ADB76}" xr6:coauthVersionLast="36" xr6:coauthVersionMax="36" xr10:uidLastSave="{00000000-0000-0000-0000-000000000000}"/>
  <workbookProtection workbookAlgorithmName="SHA-512" workbookHashValue="t/J+2srnan0sBQlJkWEzJzRijkSusiD5PS31I7WlP4vONWdI6VC/OtX3f8KHZF9FU9br1BfZapEX4c2SLSwfgg==" workbookSaltValue="t8wACOlnpL9gTieAT0FrOA==" workbookSpinCount="100000" lockStructure="1"/>
  <bookViews>
    <workbookView xWindow="0" yWindow="0" windowWidth="24555" windowHeight="13290"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<sst xmlns="http://schemas.openxmlformats.org/spreadsheetml/2006/main" count="223" uniqueCount="186">
  <si>
    <t>（様式３－１：単独１事業者による申請の場合）</t>
  </si>
  <si>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</si>
  <si>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</si>
  <si>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</si>
  <si>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</si>
  <si>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</si>
  <si>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</si>
  <si>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</si>
  <si>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</si>
  <si>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</si>
  <si>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</si>
  <si>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</si>
  <si>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</si>
  <si>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</si>
  <si>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</si>
  <si>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</si>
  <si>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</si>
  <si>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</si>
  <si>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</si>
  <si>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</si>
  <si>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</si>
  <si>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</si>
  <si>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</si>
  <si>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</si>
  <si>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</si>
  <si>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</si>
  <si>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</si>
  <si>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</si>
  <si>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</si>
  <si>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</si>
  <si>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</si>
  <si>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</si>
  <si>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</si>
  <si>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</si>
  <si>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</si>
  <si>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</si>
  <si>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</si>
  <si>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</si>
  <si>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補助事業の終了時点において、事業場内最低賃金が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</si>
  <si>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賃金引上げ枠に申請する事業者のうち、直近１期または直近１年間の課税所得金額がゼロである事業者。</t>
    <phoneticPr fontId="10"/>
  </si>
  <si>
    <t>補助事業の終了時点において、常時使用する従業員の数が小規模事業者の定義から外れ、中小企業以上に成長すること。</t>
    <phoneticPr fontId="10"/>
  </si>
  <si>
    <t>申請時において、「アトツギ甲子園」のファイナリストになった事業者であること。</t>
    <phoneticPr fontId="10"/>
  </si>
  <si>
    <t>産業競争力強化法に基づく「認定市区町村」または「認定市区町村」と連携した「認定連携創業支援等事業者」が実施した「特定創業支援等事業」による支援を過去３か年度の間に受けた事業者であること。</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</si>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</sst>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1" xfId="0" applyFont="1" applyBorder="1" applyAlignment="1" applyProtection="1">
      <alignment horizontal="left"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7" fillId="0" borderId="0" xfId="0" applyFont="1" applyAlignment="1" applyProtection="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5" fillId="0" borderId="17" xfId="0" applyFont="1" applyBorder="1" applyAlignment="1" applyProtection="1">
      <alignment horizontal="center" vertical="center"/>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58"/>
  <sheetViews>
    <sheetView showGridLines="0" tabSelected="1" view="pageBreakPreview" zoomScale="130" zoomScaleNormal="115" zoomScaleSheetLayoutView="130" workbookViewId="0">
      <selection activeCell="A11" sqref="A11:F11"/>
    </sheetView>
  </sheetViews>
  <sheetFormatPr defaultColWidth="0" defaultRowHeight="13.5" x14ac:dyDescent="0.15"/>
  <cols>
    <col min="1" max="26" width="2.5" customWidth="1"/>
    <col min="27" max="30" width="2.625" customWidth="1"/>
    <col min="31" max="35" width="2.5" customWidth="1"/>
    <col min="36" max="37" width="3.25" customWidth="1"/>
    <col min="38" max="38" width="1.125" customWidth="1"/>
    <col min="39" max="39" width="15.375" style="20" customWidth="1"/>
    <col min="40" max="40" width="11.375" style="20" customWidth="1"/>
    <col min="41" max="41" width="15.625" style="20" customWidth="1"/>
    <col min="42" max="42" width="15.25" style="20" customWidth="1"/>
    <col min="43" max="43" width="4.625" style="20" customWidth="1"/>
    <col min="44" max="44" width="15.25" style="20" customWidth="1"/>
    <col min="45" max="45" width="1.625" customWidth="1"/>
    <col min="46" max="52" width="2.25" hidden="1" customWidth="1"/>
    <col min="53" max="107" width="9.125" hidden="1" customWidth="1"/>
    <col min="108" max="111" width="3.5" hidden="1" customWidth="1"/>
    <col min="112" max="16383" width="9.125" hidden="1"/>
    <col min="16384" max="16384" width="12.125" hidden="1" customWidth="1"/>
  </cols>
  <sheetData>
    <row r="1" spans="1:111" ht="19.5" customHeight="1" x14ac:dyDescent="0.15">
      <c r="A1" s="19"/>
      <c r="AJ1" s="2" t="s">
        <v>0</v>
      </c>
    </row>
    <row r="2" spans="1:111" ht="19.5" customHeight="1" x14ac:dyDescent="0.15">
      <c r="A2" s="2"/>
    </row>
    <row r="3" spans="1:111" ht="19.5" customHeight="1" x14ac:dyDescent="0.15">
      <c r="Q3" s="3" t="s">
        <v>25</v>
      </c>
    </row>
    <row r="4" spans="1:111" ht="19.5" customHeight="1" x14ac:dyDescent="0.15">
      <c r="A4" s="3"/>
    </row>
    <row r="5" spans="1:111" ht="19.5" customHeight="1" x14ac:dyDescent="0.15">
      <c r="G5" s="4"/>
      <c r="S5" s="247" t="s">
        <v>22</v>
      </c>
      <c r="T5" s="247"/>
      <c r="U5" s="247"/>
      <c r="V5" s="248"/>
      <c r="W5" s="248"/>
      <c r="X5" s="248"/>
      <c r="Y5" s="248"/>
      <c r="Z5" s="248"/>
      <c r="AA5" s="248"/>
      <c r="AB5" s="248"/>
      <c r="AC5" s="248"/>
      <c r="AD5" s="248"/>
      <c r="AE5" s="248"/>
      <c r="AF5" s="248"/>
      <c r="AG5" s="248"/>
      <c r="AH5" s="248"/>
      <c r="AI5" s="248"/>
      <c r="AJ5" s="248"/>
    </row>
    <row r="6" spans="1:111" ht="19.5" customHeight="1" x14ac:dyDescent="0.15">
      <c r="A6" s="5"/>
      <c r="V6" s="27"/>
    </row>
    <row r="7" spans="1:111" ht="16.350000000000001" customHeight="1" x14ac:dyDescent="0.15">
      <c r="A7" s="6" t="s">
        <v>1</v>
      </c>
      <c r="AM7" s="21"/>
      <c r="AN7" s="21"/>
      <c r="AO7" s="21"/>
      <c r="AP7" s="21"/>
      <c r="AQ7" s="21"/>
      <c r="AR7" s="21"/>
    </row>
    <row r="8" spans="1:111" ht="19.149999999999999" customHeight="1" x14ac:dyDescent="0.15">
      <c r="AJ8" s="7" t="s">
        <v>2</v>
      </c>
      <c r="AL8" s="280"/>
      <c r="AM8" s="280"/>
      <c r="AN8" s="280"/>
      <c r="AO8" s="280"/>
      <c r="AP8" s="280"/>
      <c r="AQ8" s="280"/>
      <c r="AR8" s="280"/>
      <c r="AS8" s="280"/>
    </row>
    <row r="9" spans="1:111" ht="16.350000000000001" customHeight="1" x14ac:dyDescent="0.15">
      <c r="A9" s="249" t="s">
        <v>24</v>
      </c>
      <c r="B9" s="250"/>
      <c r="C9" s="250"/>
      <c r="D9" s="250"/>
      <c r="E9" s="250"/>
      <c r="F9" s="251"/>
      <c r="G9" s="255" t="s">
        <v>23</v>
      </c>
      <c r="H9" s="256"/>
      <c r="I9" s="256"/>
      <c r="J9" s="256"/>
      <c r="K9" s="256"/>
      <c r="L9" s="256"/>
      <c r="M9" s="256"/>
      <c r="N9" s="256"/>
      <c r="O9" s="256"/>
      <c r="P9" s="256"/>
      <c r="Q9" s="256"/>
      <c r="R9" s="256"/>
      <c r="S9" s="256"/>
      <c r="T9" s="256"/>
      <c r="U9" s="256"/>
      <c r="V9" s="255" t="s">
        <v>9</v>
      </c>
      <c r="W9" s="256"/>
      <c r="X9" s="256"/>
      <c r="Y9" s="256"/>
      <c r="Z9" s="256"/>
      <c r="AA9" s="256"/>
      <c r="AB9" s="256"/>
      <c r="AC9" s="256"/>
      <c r="AD9" s="259"/>
      <c r="AE9" s="261" t="s">
        <v>26</v>
      </c>
      <c r="AF9" s="262"/>
      <c r="AG9" s="262"/>
      <c r="AH9" s="262"/>
      <c r="AI9" s="262"/>
      <c r="AJ9" s="263"/>
      <c r="AK9" s="18"/>
      <c r="AL9" s="281" t="s">
        <v>168</v>
      </c>
      <c r="AM9" s="281"/>
      <c r="AN9" s="281"/>
      <c r="AO9" s="281"/>
      <c r="AP9" s="281"/>
      <c r="AQ9" s="281"/>
      <c r="AR9" s="281"/>
      <c r="AS9" s="281"/>
    </row>
    <row r="10" spans="1:111" ht="16.350000000000001" customHeight="1" x14ac:dyDescent="0.15">
      <c r="A10" s="252"/>
      <c r="B10" s="253"/>
      <c r="C10" s="253"/>
      <c r="D10" s="253"/>
      <c r="E10" s="253"/>
      <c r="F10" s="254"/>
      <c r="G10" s="257"/>
      <c r="H10" s="258"/>
      <c r="I10" s="258"/>
      <c r="J10" s="258"/>
      <c r="K10" s="258"/>
      <c r="L10" s="258"/>
      <c r="M10" s="258"/>
      <c r="N10" s="258"/>
      <c r="O10" s="258"/>
      <c r="P10" s="258"/>
      <c r="Q10" s="258"/>
      <c r="R10" s="258"/>
      <c r="S10" s="258"/>
      <c r="T10" s="258"/>
      <c r="U10" s="258"/>
      <c r="V10" s="257"/>
      <c r="W10" s="258"/>
      <c r="X10" s="258"/>
      <c r="Y10" s="258"/>
      <c r="Z10" s="258"/>
      <c r="AA10" s="258"/>
      <c r="AB10" s="258"/>
      <c r="AC10" s="258"/>
      <c r="AD10" s="260"/>
      <c r="AE10" s="264" t="s">
        <v>180</v>
      </c>
      <c r="AF10" s="265"/>
      <c r="AG10" s="265"/>
      <c r="AH10" s="265"/>
      <c r="AI10" s="265"/>
      <c r="AJ10" s="266"/>
      <c r="AK10" s="18"/>
      <c r="AL10" s="281" t="s">
        <v>169</v>
      </c>
      <c r="AM10" s="281"/>
      <c r="AN10" s="281"/>
      <c r="AO10" s="281"/>
      <c r="AP10" s="281"/>
      <c r="AQ10" s="281"/>
      <c r="AR10" s="281"/>
      <c r="AS10" s="281"/>
    </row>
    <row r="11" spans="1:111" s="16" customFormat="1" ht="25.9" customHeight="1" x14ac:dyDescent="0.15">
      <c r="A11" s="206"/>
      <c r="B11" s="207"/>
      <c r="C11" s="207"/>
      <c r="D11" s="207"/>
      <c r="E11" s="207"/>
      <c r="F11" s="208"/>
      <c r="G11" s="206"/>
      <c r="H11" s="207"/>
      <c r="I11" s="207"/>
      <c r="J11" s="207"/>
      <c r="K11" s="207"/>
      <c r="L11" s="207"/>
      <c r="M11" s="207"/>
      <c r="N11" s="207"/>
      <c r="O11" s="207"/>
      <c r="P11" s="207"/>
      <c r="Q11" s="207"/>
      <c r="R11" s="207"/>
      <c r="S11" s="207"/>
      <c r="T11" s="207"/>
      <c r="U11" s="207"/>
      <c r="V11" s="209"/>
      <c r="W11" s="210"/>
      <c r="X11" s="210"/>
      <c r="Y11" s="210"/>
      <c r="Z11" s="210"/>
      <c r="AA11" s="210"/>
      <c r="AB11" s="210"/>
      <c r="AC11" s="210"/>
      <c r="AD11" s="211"/>
      <c r="AE11" s="212"/>
      <c r="AF11" s="213"/>
      <c r="AG11" s="213"/>
      <c r="AH11" s="213"/>
      <c r="AI11" s="213"/>
      <c r="AJ11" s="214"/>
      <c r="AK11" s="37"/>
      <c r="AL11" s="282" t="s">
        <v>170</v>
      </c>
      <c r="AM11" s="282"/>
      <c r="AN11" s="282"/>
      <c r="AO11" s="282"/>
      <c r="AP11" s="282"/>
      <c r="AQ11" s="282"/>
      <c r="AR11" s="282"/>
      <c r="AS11" s="282"/>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 customHeight="1" x14ac:dyDescent="0.15">
      <c r="A12" s="206"/>
      <c r="B12" s="207"/>
      <c r="C12" s="207"/>
      <c r="D12" s="207"/>
      <c r="E12" s="207"/>
      <c r="F12" s="208"/>
      <c r="G12" s="206"/>
      <c r="H12" s="207"/>
      <c r="I12" s="207"/>
      <c r="J12" s="207"/>
      <c r="K12" s="207"/>
      <c r="L12" s="207"/>
      <c r="M12" s="207"/>
      <c r="N12" s="207"/>
      <c r="O12" s="207"/>
      <c r="P12" s="207"/>
      <c r="Q12" s="207"/>
      <c r="R12" s="207"/>
      <c r="S12" s="207"/>
      <c r="T12" s="207"/>
      <c r="U12" s="207"/>
      <c r="V12" s="209"/>
      <c r="W12" s="210"/>
      <c r="X12" s="210"/>
      <c r="Y12" s="210"/>
      <c r="Z12" s="210"/>
      <c r="AA12" s="210"/>
      <c r="AB12" s="210"/>
      <c r="AC12" s="210"/>
      <c r="AD12" s="211"/>
      <c r="AE12" s="212"/>
      <c r="AF12" s="213"/>
      <c r="AG12" s="213"/>
      <c r="AH12" s="213"/>
      <c r="AI12" s="213"/>
      <c r="AJ12" s="214"/>
      <c r="AK12" s="37"/>
      <c r="AL12" s="283" t="s">
        <v>171</v>
      </c>
      <c r="AM12" s="283"/>
      <c r="AN12" s="283"/>
      <c r="AO12" s="283"/>
      <c r="AP12" s="283"/>
      <c r="AQ12" s="283"/>
      <c r="AR12" s="283"/>
      <c r="AS12" s="283"/>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 customHeight="1" x14ac:dyDescent="0.15">
      <c r="A13" s="206"/>
      <c r="B13" s="207"/>
      <c r="C13" s="207"/>
      <c r="D13" s="207"/>
      <c r="E13" s="207"/>
      <c r="F13" s="208"/>
      <c r="G13" s="206"/>
      <c r="H13" s="207"/>
      <c r="I13" s="207"/>
      <c r="J13" s="207"/>
      <c r="K13" s="207"/>
      <c r="L13" s="207"/>
      <c r="M13" s="207"/>
      <c r="N13" s="207"/>
      <c r="O13" s="207"/>
      <c r="P13" s="207"/>
      <c r="Q13" s="207"/>
      <c r="R13" s="207"/>
      <c r="S13" s="207"/>
      <c r="T13" s="207"/>
      <c r="U13" s="207"/>
      <c r="V13" s="209"/>
      <c r="W13" s="210"/>
      <c r="X13" s="210"/>
      <c r="Y13" s="210"/>
      <c r="Z13" s="210"/>
      <c r="AA13" s="210"/>
      <c r="AB13" s="210"/>
      <c r="AC13" s="210"/>
      <c r="AD13" s="211"/>
      <c r="AE13" s="212"/>
      <c r="AF13" s="213"/>
      <c r="AG13" s="213"/>
      <c r="AH13" s="213"/>
      <c r="AI13" s="213"/>
      <c r="AJ13" s="214"/>
      <c r="AK13" s="37"/>
      <c r="AL13" s="284"/>
      <c r="AM13" s="284"/>
      <c r="AN13" s="284"/>
      <c r="AO13" s="284"/>
      <c r="AP13" s="284"/>
      <c r="AQ13" s="284"/>
      <c r="AR13" s="284"/>
      <c r="AS13" s="284"/>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 customHeight="1" x14ac:dyDescent="0.15">
      <c r="A14" s="206"/>
      <c r="B14" s="207"/>
      <c r="C14" s="207"/>
      <c r="D14" s="207"/>
      <c r="E14" s="207"/>
      <c r="F14" s="208"/>
      <c r="G14" s="206"/>
      <c r="H14" s="207"/>
      <c r="I14" s="207"/>
      <c r="J14" s="207"/>
      <c r="K14" s="207"/>
      <c r="L14" s="207"/>
      <c r="M14" s="207"/>
      <c r="N14" s="207"/>
      <c r="O14" s="207"/>
      <c r="P14" s="207"/>
      <c r="Q14" s="207"/>
      <c r="R14" s="207"/>
      <c r="S14" s="207"/>
      <c r="T14" s="207"/>
      <c r="U14" s="207"/>
      <c r="V14" s="209"/>
      <c r="W14" s="210"/>
      <c r="X14" s="210"/>
      <c r="Y14" s="210"/>
      <c r="Z14" s="210"/>
      <c r="AA14" s="210"/>
      <c r="AB14" s="210"/>
      <c r="AC14" s="210"/>
      <c r="AD14" s="211"/>
      <c r="AE14" s="212"/>
      <c r="AF14" s="213"/>
      <c r="AG14" s="213"/>
      <c r="AH14" s="213"/>
      <c r="AI14" s="213"/>
      <c r="AJ14" s="214"/>
      <c r="AK14" s="37"/>
      <c r="AL14" s="285"/>
      <c r="AM14" s="285"/>
      <c r="AN14" s="285"/>
      <c r="AO14" s="285"/>
      <c r="AP14" s="285"/>
      <c r="AQ14" s="285"/>
      <c r="AR14" s="285"/>
      <c r="AS14" s="285"/>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 customHeight="1" x14ac:dyDescent="0.15">
      <c r="A15" s="206"/>
      <c r="B15" s="207"/>
      <c r="C15" s="207"/>
      <c r="D15" s="207"/>
      <c r="E15" s="207"/>
      <c r="F15" s="208"/>
      <c r="G15" s="206"/>
      <c r="H15" s="207"/>
      <c r="I15" s="207"/>
      <c r="J15" s="207"/>
      <c r="K15" s="207"/>
      <c r="L15" s="207"/>
      <c r="M15" s="207"/>
      <c r="N15" s="207"/>
      <c r="O15" s="207"/>
      <c r="P15" s="207"/>
      <c r="Q15" s="207"/>
      <c r="R15" s="207"/>
      <c r="S15" s="207"/>
      <c r="T15" s="207"/>
      <c r="U15" s="207"/>
      <c r="V15" s="209"/>
      <c r="W15" s="210"/>
      <c r="X15" s="210"/>
      <c r="Y15" s="210"/>
      <c r="Z15" s="210"/>
      <c r="AA15" s="210"/>
      <c r="AB15" s="210"/>
      <c r="AC15" s="210"/>
      <c r="AD15" s="211"/>
      <c r="AE15" s="212"/>
      <c r="AF15" s="213"/>
      <c r="AG15" s="213"/>
      <c r="AH15" s="213"/>
      <c r="AI15" s="213"/>
      <c r="AJ15" s="214"/>
      <c r="AK15" s="37"/>
      <c r="AL15" s="48"/>
      <c r="AM15" s="48"/>
      <c r="AN15" s="48"/>
      <c r="AO15" s="48"/>
      <c r="AP15" s="48"/>
      <c r="AQ15" s="48"/>
      <c r="AR15" s="48"/>
      <c r="AS15" s="48"/>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899999999999999" customHeight="1" x14ac:dyDescent="0.15">
      <c r="A16" s="237" t="s">
        <v>158</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9"/>
      <c r="AE16" s="218">
        <f>ExpenseCategoryList!K$2</f>
        <v>0</v>
      </c>
      <c r="AF16" s="219"/>
      <c r="AG16" s="219"/>
      <c r="AH16" s="219"/>
      <c r="AI16" s="219"/>
      <c r="AJ16" s="220"/>
      <c r="AK16" s="22"/>
      <c r="AL16" s="42"/>
      <c r="AM16" s="43" t="s">
        <v>75</v>
      </c>
      <c r="AN16" s="112" t="s">
        <v>143</v>
      </c>
      <c r="AO16" s="112" t="s">
        <v>111</v>
      </c>
      <c r="AP16" s="48" t="s">
        <v>125</v>
      </c>
      <c r="AQ16" s="48"/>
      <c r="AR16" s="49"/>
      <c r="AS16" s="48"/>
    </row>
    <row r="17" spans="1:111" s="16" customFormat="1" ht="28.9" customHeight="1" x14ac:dyDescent="0.15">
      <c r="A17" s="242" t="s">
        <v>159</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c r="AE17" s="231"/>
      <c r="AF17" s="232"/>
      <c r="AG17" s="232"/>
      <c r="AH17" s="232"/>
      <c r="AI17" s="232"/>
      <c r="AJ17" s="233"/>
      <c r="AK17" s="22"/>
      <c r="AL17" s="42"/>
      <c r="AM17" s="46" t="str">
        <f>ExpenseCategoryList!E29</f>
        <v>×</v>
      </c>
      <c r="AN17" s="133">
        <f>IF(AP17=AR17,ExpenseCategoryList!I14,"")</f>
        <v>0</v>
      </c>
      <c r="AO17" s="47" t="str">
        <f>ExpenseCategoryList!J38</f>
        <v/>
      </c>
      <c r="AP17" s="68">
        <f>ExpenseCategoryList!I29</f>
        <v>0</v>
      </c>
      <c r="AQ17" s="50" t="s">
        <v>80</v>
      </c>
      <c r="AR17" s="68">
        <f>ExpenseCategoryList!G29</f>
        <v>0</v>
      </c>
      <c r="AS17" s="48"/>
    </row>
    <row r="18" spans="1:111" s="16" customFormat="1" ht="19.899999999999999" customHeight="1" x14ac:dyDescent="0.15">
      <c r="A18" s="237" t="s">
        <v>160</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218">
        <f>ExpenseCategoryList!$Q$2</f>
        <v>0</v>
      </c>
      <c r="AF18" s="219"/>
      <c r="AG18" s="219"/>
      <c r="AH18" s="219"/>
      <c r="AI18" s="219"/>
      <c r="AJ18" s="220"/>
      <c r="AK18" s="22"/>
      <c r="AL18" s="42"/>
      <c r="AM18" s="69"/>
      <c r="AN18" s="69"/>
      <c r="AO18" s="69"/>
      <c r="AP18" s="70"/>
      <c r="AQ18" s="70"/>
      <c r="AR18" s="70"/>
      <c r="AS18" s="48"/>
    </row>
    <row r="19" spans="1:111" s="16" customFormat="1" ht="28.9" customHeight="1" x14ac:dyDescent="0.15">
      <c r="A19" s="242" t="s">
        <v>161</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4"/>
      <c r="AE19" s="234">
        <f>ExpenseCategoryList!H40</f>
        <v>0</v>
      </c>
      <c r="AF19" s="235"/>
      <c r="AG19" s="235"/>
      <c r="AH19" s="235"/>
      <c r="AI19" s="235"/>
      <c r="AJ19" s="236"/>
      <c r="AK19" s="22"/>
      <c r="AL19" s="42"/>
      <c r="AM19" s="71" t="str">
        <f>ExpenseCategoryList!E31</f>
        <v>〇</v>
      </c>
      <c r="AN19" s="133">
        <f>IF(AP17=AR17,ExpenseCategoryList!I18,"")</f>
        <v>0</v>
      </c>
      <c r="AO19" s="72" t="str">
        <f>ExpenseCategoryList!J40</f>
        <v/>
      </c>
      <c r="AP19" s="113"/>
      <c r="AQ19" s="73"/>
      <c r="AR19" s="113"/>
      <c r="AS19" s="48"/>
    </row>
    <row r="20" spans="1:111" ht="19.5" customHeight="1" x14ac:dyDescent="0.15">
      <c r="A20" s="237" t="s">
        <v>162</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9"/>
      <c r="AE20" s="218">
        <f>ExpenseCategoryList!$D$2</f>
        <v>0</v>
      </c>
      <c r="AF20" s="219"/>
      <c r="AG20" s="219"/>
      <c r="AH20" s="219"/>
      <c r="AI20" s="219"/>
      <c r="AJ20" s="220"/>
      <c r="AK20" s="18"/>
      <c r="AL20" s="44"/>
      <c r="AM20" s="69"/>
      <c r="AN20" s="69"/>
      <c r="AO20" s="69"/>
      <c r="AP20" s="114"/>
      <c r="AQ20" s="114"/>
      <c r="AR20" s="114"/>
    </row>
    <row r="21" spans="1:111" s="20" customFormat="1" ht="19.5" customHeight="1" x14ac:dyDescent="0.15">
      <c r="A21" s="215" t="s">
        <v>163</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7"/>
      <c r="AE21" s="218">
        <f>ExpenseCategoryList!J20</f>
        <v>0</v>
      </c>
      <c r="AF21" s="219"/>
      <c r="AG21" s="219"/>
      <c r="AH21" s="219"/>
      <c r="AI21" s="219"/>
      <c r="AJ21" s="220"/>
      <c r="AK21" s="131" t="str">
        <f>ExpenseCategoryList!E46</f>
        <v/>
      </c>
      <c r="AL21" s="44"/>
      <c r="AM21" s="71" t="str">
        <f>ExpenseCategoryList!E33</f>
        <v>〇</v>
      </c>
      <c r="AN21" s="133">
        <f>IF(AP17=AR17,ExpenseCategoryList!I22,"")</f>
        <v>0</v>
      </c>
      <c r="AO21" s="112" t="s">
        <v>117</v>
      </c>
      <c r="AP21" s="113"/>
      <c r="AQ21" s="75"/>
      <c r="AR21" s="113"/>
      <c r="AS21" s="49"/>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20" customFormat="1" ht="19.5" customHeight="1" x14ac:dyDescent="0.15">
      <c r="A22" s="273" t="s">
        <v>70</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4" t="str">
        <f>ExpenseCategoryList!$R$2</f>
        <v>いいえ</v>
      </c>
      <c r="AF22" s="274"/>
      <c r="AG22" s="274"/>
      <c r="AH22" s="274"/>
      <c r="AI22" s="274"/>
      <c r="AJ22" s="274"/>
      <c r="AK22" s="36"/>
      <c r="AL22" s="36"/>
      <c r="AM22" s="71" t="str">
        <f>ExpenseCategoryList!E34</f>
        <v>×</v>
      </c>
      <c r="AN22" s="72"/>
      <c r="AO22" s="72" t="str">
        <f>ExpenseCategoryList!J42</f>
        <v/>
      </c>
      <c r="AP22" s="72"/>
      <c r="AQ22" s="72"/>
      <c r="AR22" s="72"/>
      <c r="AS22" s="45"/>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20" customFormat="1" ht="17.649999999999999" customHeight="1" x14ac:dyDescent="0.15">
      <c r="A23" s="221" t="s">
        <v>53</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30"/>
      <c r="AM23" s="76"/>
      <c r="AN23" s="76"/>
      <c r="AO23" s="74"/>
      <c r="AP23" s="74"/>
      <c r="AQ23" s="74"/>
      <c r="AR23" s="74"/>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20" customFormat="1" ht="17.649999999999999" customHeight="1" x14ac:dyDescent="0.15">
      <c r="A24" s="221" t="s">
        <v>29</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30"/>
      <c r="AM24" s="135" t="s">
        <v>119</v>
      </c>
      <c r="AN24" s="134" t="str">
        <f xml:space="preserve"> ExpenseCategoryList!E38</f>
        <v/>
      </c>
      <c r="AO24" s="136" t="s">
        <v>144</v>
      </c>
      <c r="AP24" s="149" t="str">
        <f xml:space="preserve"> ExpenseCategoryList!E40</f>
        <v/>
      </c>
      <c r="AQ24" s="74"/>
      <c r="AR24" s="7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20" customFormat="1" ht="17.649999999999999" customHeight="1" x14ac:dyDescent="0.15">
      <c r="A25" s="175" t="s">
        <v>164</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29"/>
      <c r="AM25" s="164"/>
      <c r="AN25" s="164"/>
      <c r="AO25" s="164"/>
      <c r="AP25" s="164"/>
      <c r="AQ25" s="164"/>
      <c r="AR25" s="164"/>
      <c r="AS25" s="16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20" customFormat="1" ht="30" customHeight="1" x14ac:dyDescent="0.15">
      <c r="A26" s="240" t="s">
        <v>167</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150"/>
      <c r="AM26" s="163" t="str">
        <f>ExpenseCategoryList!E48 &amp; ExpenseCategoryList!E49</f>
        <v/>
      </c>
      <c r="AN26" s="163"/>
      <c r="AO26" s="163"/>
      <c r="AP26" s="163"/>
      <c r="AQ26" s="163"/>
      <c r="AR26" s="163"/>
      <c r="AS26" s="163"/>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20" customFormat="1" ht="17.649999999999999" customHeight="1" x14ac:dyDescent="0.15">
      <c r="A27" s="245" t="s">
        <v>166</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31"/>
      <c r="AM27" s="124"/>
      <c r="AN27" s="124"/>
      <c r="AO27" s="124"/>
      <c r="AP27" s="124"/>
      <c r="AQ27" s="124"/>
      <c r="AR27" s="124"/>
      <c r="AS27" s="124"/>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20" customFormat="1" ht="17.649999999999999" customHeight="1" x14ac:dyDescent="0.15">
      <c r="A28" s="245" t="s">
        <v>184</v>
      </c>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33"/>
      <c r="AM28" s="176"/>
      <c r="AN28" s="176"/>
      <c r="AO28" s="176"/>
      <c r="AP28" s="176"/>
      <c r="AQ28" s="176"/>
      <c r="AR28" s="176"/>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20" customFormat="1" ht="17.649999999999999" customHeight="1" x14ac:dyDescent="0.15">
      <c r="A29" s="245" t="s">
        <v>57</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32"/>
      <c r="AM29" s="20" t="s">
        <v>126</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20" customFormat="1" ht="17.649999999999999" customHeight="1" x14ac:dyDescent="0.15">
      <c r="A30" s="270" t="s">
        <v>165</v>
      </c>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32"/>
      <c r="AM30" s="20" t="s">
        <v>127</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20" customFormat="1" ht="17.649999999999999" customHeigh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34"/>
      <c r="AM31" s="20" t="s">
        <v>128</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20" customFormat="1" ht="28.9" customHeight="1" x14ac:dyDescent="0.15">
      <c r="A32" s="271" t="s">
        <v>58</v>
      </c>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3"/>
      <c r="AM32" s="20" t="s">
        <v>129</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20" customFormat="1" ht="22.9" customHeight="1" thickBot="1" x14ac:dyDescent="0.2">
      <c r="A33" s="192" t="s">
        <v>30</v>
      </c>
      <c r="B33" s="165"/>
      <c r="C33" s="165"/>
      <c r="D33" s="165"/>
      <c r="E33" s="165"/>
      <c r="F33" s="193"/>
      <c r="G33" s="193"/>
      <c r="H33" s="193"/>
      <c r="I33" s="193"/>
      <c r="J33" s="165" t="s">
        <v>35</v>
      </c>
      <c r="K33" s="165"/>
      <c r="L33" s="165"/>
      <c r="M33" s="165"/>
      <c r="N33" s="168" t="s">
        <v>37</v>
      </c>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23"/>
      <c r="AL33" s="2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20" customFormat="1" ht="22.9" customHeight="1" thickTop="1" x14ac:dyDescent="0.15">
      <c r="A34" s="275" t="s">
        <v>71</v>
      </c>
      <c r="B34" s="276"/>
      <c r="C34" s="276"/>
      <c r="D34" s="276"/>
      <c r="E34" s="276"/>
      <c r="F34" s="40"/>
      <c r="G34" s="277" t="s">
        <v>43</v>
      </c>
      <c r="H34" s="277"/>
      <c r="I34" s="41"/>
      <c r="J34" s="170" t="s">
        <v>72</v>
      </c>
      <c r="K34" s="170"/>
      <c r="L34" s="170"/>
      <c r="M34" s="171"/>
      <c r="N34" s="172" t="s">
        <v>73</v>
      </c>
      <c r="O34" s="173"/>
      <c r="P34" s="173"/>
      <c r="Q34" s="173"/>
      <c r="R34" s="173"/>
      <c r="S34" s="173"/>
      <c r="T34" s="173"/>
      <c r="U34" s="173"/>
      <c r="V34" s="173"/>
      <c r="W34" s="173"/>
      <c r="X34" s="173"/>
      <c r="Y34" s="173"/>
      <c r="Z34" s="173"/>
      <c r="AA34" s="173"/>
      <c r="AB34" s="173"/>
      <c r="AC34" s="173"/>
      <c r="AD34" s="173"/>
      <c r="AE34" s="173"/>
      <c r="AF34" s="173"/>
      <c r="AG34" s="173"/>
      <c r="AH34" s="173"/>
      <c r="AI34" s="173"/>
      <c r="AJ34" s="174"/>
      <c r="AK34" s="23"/>
      <c r="AL34" s="23"/>
      <c r="AM34" s="20" t="s">
        <v>132</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20" customFormat="1" ht="46.15" customHeight="1" x14ac:dyDescent="0.15">
      <c r="A35" s="246" t="s">
        <v>31</v>
      </c>
      <c r="B35" s="167"/>
      <c r="C35" s="167"/>
      <c r="D35" s="167"/>
      <c r="E35" s="194"/>
      <c r="F35" s="38"/>
      <c r="G35" s="278" t="s">
        <v>43</v>
      </c>
      <c r="H35" s="278"/>
      <c r="I35" s="39"/>
      <c r="J35" s="166" t="s">
        <v>36</v>
      </c>
      <c r="K35" s="167"/>
      <c r="L35" s="167"/>
      <c r="M35" s="167"/>
      <c r="N35" s="169" t="s">
        <v>38</v>
      </c>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23"/>
      <c r="AL35" s="23"/>
      <c r="AM35" s="20" t="s">
        <v>130</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20" customFormat="1" ht="22.9" customHeight="1" x14ac:dyDescent="0.15">
      <c r="A36" s="24"/>
      <c r="B36" s="268" t="s">
        <v>121</v>
      </c>
      <c r="C36" s="268"/>
      <c r="D36" s="268"/>
      <c r="E36" s="269"/>
      <c r="F36" s="25"/>
      <c r="G36" s="279" t="s">
        <v>43</v>
      </c>
      <c r="H36" s="279"/>
      <c r="I36" s="26"/>
      <c r="J36" s="166"/>
      <c r="K36" s="167"/>
      <c r="L36" s="167"/>
      <c r="M36" s="167"/>
      <c r="N36" s="169" t="s">
        <v>39</v>
      </c>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23"/>
      <c r="AL36" s="23"/>
      <c r="AM36" s="20" t="s">
        <v>131</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20" customFormat="1" ht="22.9" customHeight="1" x14ac:dyDescent="0.15">
      <c r="A37" s="167" t="s">
        <v>32</v>
      </c>
      <c r="B37" s="167"/>
      <c r="C37" s="167"/>
      <c r="D37" s="167"/>
      <c r="E37" s="194"/>
      <c r="F37" s="25"/>
      <c r="G37" s="191" t="s">
        <v>43</v>
      </c>
      <c r="H37" s="191"/>
      <c r="I37" s="26"/>
      <c r="J37" s="166"/>
      <c r="K37" s="167"/>
      <c r="L37" s="167"/>
      <c r="M37" s="167"/>
      <c r="N37" s="169" t="s">
        <v>40</v>
      </c>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23"/>
      <c r="AL37" s="23"/>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20" customFormat="1" ht="22.9" customHeight="1" x14ac:dyDescent="0.15">
      <c r="A38" s="167" t="s">
        <v>33</v>
      </c>
      <c r="B38" s="167"/>
      <c r="C38" s="167"/>
      <c r="D38" s="167"/>
      <c r="E38" s="194"/>
      <c r="F38" s="25"/>
      <c r="G38" s="191" t="s">
        <v>43</v>
      </c>
      <c r="H38" s="191"/>
      <c r="I38" s="26"/>
      <c r="J38" s="166"/>
      <c r="K38" s="167"/>
      <c r="L38" s="167"/>
      <c r="M38" s="167"/>
      <c r="N38" s="169" t="s">
        <v>41</v>
      </c>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23"/>
      <c r="AL38" s="23"/>
      <c r="AM38" s="20" t="s">
        <v>120</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20" customFormat="1" ht="34.15" customHeight="1" x14ac:dyDescent="0.15">
      <c r="A39" s="167" t="s">
        <v>34</v>
      </c>
      <c r="B39" s="167"/>
      <c r="C39" s="167"/>
      <c r="D39" s="167"/>
      <c r="E39" s="194"/>
      <c r="F39" s="25"/>
      <c r="G39" s="191" t="s">
        <v>43</v>
      </c>
      <c r="H39" s="191"/>
      <c r="I39" s="26"/>
      <c r="J39" s="166"/>
      <c r="K39" s="167"/>
      <c r="L39" s="167"/>
      <c r="M39" s="167"/>
      <c r="N39" s="169" t="s">
        <v>42</v>
      </c>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23"/>
      <c r="AL39" s="23"/>
      <c r="AM39" s="20" t="s">
        <v>147</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20" customFormat="1" ht="19.5"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20" customFormat="1" ht="19.5" customHeight="1"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20" customFormat="1" ht="19.5" customHeight="1" x14ac:dyDescent="0.15">
      <c r="A42" s="241" t="s">
        <v>174</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c r="AM42" s="20" t="s">
        <v>122</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20" customFormat="1" ht="25.9" customHeight="1" x14ac:dyDescent="0.15">
      <c r="A43" s="192" t="s">
        <v>182</v>
      </c>
      <c r="B43" s="165"/>
      <c r="C43" s="165"/>
      <c r="D43" s="165"/>
      <c r="E43" s="165"/>
      <c r="F43" s="193"/>
      <c r="G43" s="193"/>
      <c r="H43" s="193"/>
      <c r="I43" s="193"/>
      <c r="J43" s="192" t="s">
        <v>176</v>
      </c>
      <c r="K43" s="165"/>
      <c r="L43" s="165"/>
      <c r="M43" s="165"/>
      <c r="N43" s="168" t="s">
        <v>177</v>
      </c>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51"/>
      <c r="AL43" s="152"/>
      <c r="AM43" s="20" t="s">
        <v>148</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20" customFormat="1" ht="37.15" customHeight="1" x14ac:dyDescent="0.15">
      <c r="A44" s="167" t="s">
        <v>175</v>
      </c>
      <c r="B44" s="167"/>
      <c r="C44" s="167"/>
      <c r="D44" s="167"/>
      <c r="E44" s="194"/>
      <c r="F44" s="153"/>
      <c r="G44" s="195" t="s">
        <v>43</v>
      </c>
      <c r="H44" s="195"/>
      <c r="I44" s="154"/>
      <c r="J44" s="170" t="s">
        <v>72</v>
      </c>
      <c r="K44" s="170"/>
      <c r="L44" s="170"/>
      <c r="M44" s="171"/>
      <c r="N44" s="196" t="s">
        <v>183</v>
      </c>
      <c r="O44" s="197"/>
      <c r="P44" s="197"/>
      <c r="Q44" s="197"/>
      <c r="R44" s="197"/>
      <c r="S44" s="197"/>
      <c r="T44" s="197"/>
      <c r="U44" s="197"/>
      <c r="V44" s="197"/>
      <c r="W44" s="197"/>
      <c r="X44" s="197"/>
      <c r="Y44" s="197"/>
      <c r="Z44" s="197"/>
      <c r="AA44" s="197"/>
      <c r="AB44" s="197"/>
      <c r="AC44" s="197"/>
      <c r="AD44" s="197"/>
      <c r="AE44" s="197"/>
      <c r="AF44" s="197"/>
      <c r="AG44" s="197"/>
      <c r="AH44" s="197"/>
      <c r="AI44" s="197"/>
      <c r="AJ44" s="198"/>
      <c r="AK44" s="23"/>
      <c r="AL44"/>
      <c r="AM44" s="20" t="s">
        <v>123</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20" customFormat="1" ht="19.5"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c r="AM45" s="20" t="s">
        <v>149</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20" customFormat="1" ht="19.5" customHeight="1" x14ac:dyDescent="0.15">
      <c r="A46" s="9" t="s">
        <v>3</v>
      </c>
      <c r="B46"/>
      <c r="C46"/>
      <c r="D46"/>
      <c r="E46"/>
      <c r="F46"/>
      <c r="G46"/>
      <c r="H46"/>
      <c r="I46"/>
      <c r="J46"/>
      <c r="K46"/>
      <c r="L46"/>
      <c r="M46"/>
      <c r="N46"/>
      <c r="O46"/>
      <c r="P46"/>
      <c r="Q46"/>
      <c r="R46"/>
      <c r="S46"/>
      <c r="T46"/>
      <c r="U46"/>
      <c r="V46"/>
      <c r="W46"/>
      <c r="X46"/>
      <c r="Y46"/>
      <c r="Z46"/>
      <c r="AA46"/>
      <c r="AB46"/>
      <c r="AC46"/>
      <c r="AD46"/>
      <c r="AE46"/>
      <c r="AF46"/>
      <c r="AG46"/>
      <c r="AH46"/>
      <c r="AI46"/>
      <c r="AJ46"/>
      <c r="AK46" s="23"/>
      <c r="AL46"/>
      <c r="AM46" s="20" t="s">
        <v>123</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19.5" customHeight="1" x14ac:dyDescent="0.15">
      <c r="A47" s="9" t="s">
        <v>124</v>
      </c>
      <c r="B47"/>
      <c r="C47"/>
      <c r="D47"/>
      <c r="E47"/>
      <c r="F47"/>
      <c r="G47"/>
      <c r="H47"/>
      <c r="I47"/>
      <c r="J47"/>
      <c r="K47"/>
      <c r="L47"/>
      <c r="M47"/>
      <c r="N47"/>
      <c r="O47"/>
      <c r="P47"/>
      <c r="Q47"/>
      <c r="R47"/>
      <c r="S47"/>
      <c r="T47"/>
      <c r="U47"/>
      <c r="V47"/>
      <c r="W47"/>
      <c r="X47"/>
      <c r="Y47"/>
      <c r="Z47"/>
      <c r="AA47"/>
      <c r="AB47"/>
      <c r="AC47"/>
      <c r="AD47"/>
      <c r="AE47"/>
      <c r="AF47"/>
      <c r="AG47"/>
      <c r="AH47"/>
      <c r="AI47"/>
      <c r="AJ47"/>
      <c r="AK47"/>
      <c r="AL47" s="36"/>
      <c r="AM47" s="20" t="s">
        <v>150</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39" customHeight="1" x14ac:dyDescent="0.15">
      <c r="A48" s="223" t="s">
        <v>4</v>
      </c>
      <c r="B48" s="224"/>
      <c r="C48" s="224"/>
      <c r="D48" s="224"/>
      <c r="E48" s="224"/>
      <c r="F48" s="224"/>
      <c r="G48" s="225" t="s">
        <v>7</v>
      </c>
      <c r="H48" s="226"/>
      <c r="I48" s="226"/>
      <c r="J48" s="226"/>
      <c r="K48" s="226"/>
      <c r="L48" s="227"/>
      <c r="M48" s="225" t="s">
        <v>6</v>
      </c>
      <c r="N48" s="226"/>
      <c r="O48" s="226"/>
      <c r="P48" s="226"/>
      <c r="Q48" s="227"/>
      <c r="R48"/>
      <c r="S48"/>
      <c r="T48" s="223" t="s">
        <v>4</v>
      </c>
      <c r="U48" s="223"/>
      <c r="V48" s="223"/>
      <c r="W48" s="223"/>
      <c r="X48" s="223"/>
      <c r="Y48" s="223"/>
      <c r="Z48" s="223"/>
      <c r="AA48" s="228" t="s">
        <v>7</v>
      </c>
      <c r="AB48" s="229"/>
      <c r="AC48" s="229"/>
      <c r="AD48" s="229"/>
      <c r="AE48" s="230"/>
      <c r="AF48" s="267" t="s">
        <v>6</v>
      </c>
      <c r="AG48" s="267"/>
      <c r="AH48" s="267"/>
      <c r="AI48" s="267"/>
      <c r="AJ48" s="267"/>
      <c r="AK48"/>
      <c r="AL48" s="36"/>
      <c r="AM48" s="20" t="s">
        <v>146</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19.5" customHeight="1" x14ac:dyDescent="0.15">
      <c r="A49" s="177" t="s">
        <v>19</v>
      </c>
      <c r="B49" s="178"/>
      <c r="C49" s="178"/>
      <c r="D49" s="178"/>
      <c r="E49" s="178"/>
      <c r="F49" s="178"/>
      <c r="G49" s="179">
        <v>0</v>
      </c>
      <c r="H49" s="180"/>
      <c r="I49" s="180"/>
      <c r="J49" s="180"/>
      <c r="K49" s="180"/>
      <c r="L49" s="181"/>
      <c r="M49" s="188"/>
      <c r="N49" s="189"/>
      <c r="O49" s="189"/>
      <c r="P49" s="189"/>
      <c r="Q49" s="190"/>
      <c r="R49"/>
      <c r="S49"/>
      <c r="T49" s="177" t="s">
        <v>13</v>
      </c>
      <c r="U49" s="178"/>
      <c r="V49" s="178"/>
      <c r="W49" s="178"/>
      <c r="X49" s="178"/>
      <c r="Y49" s="178"/>
      <c r="Z49" s="178"/>
      <c r="AA49" s="203">
        <v>0</v>
      </c>
      <c r="AB49" s="204"/>
      <c r="AC49" s="204"/>
      <c r="AD49" s="204"/>
      <c r="AE49" s="205"/>
      <c r="AF49" s="222"/>
      <c r="AG49" s="222"/>
      <c r="AH49" s="222"/>
      <c r="AI49" s="222"/>
      <c r="AJ49" s="222"/>
      <c r="AK49" s="18"/>
      <c r="AL49" s="36"/>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39" customHeight="1" x14ac:dyDescent="0.15">
      <c r="A50" s="177" t="s">
        <v>16</v>
      </c>
      <c r="B50" s="178"/>
      <c r="C50" s="178"/>
      <c r="D50" s="178"/>
      <c r="E50" s="178"/>
      <c r="F50" s="178"/>
      <c r="G50" s="200">
        <f>AA49+AA50+AA51</f>
        <v>0</v>
      </c>
      <c r="H50" s="201"/>
      <c r="I50" s="201"/>
      <c r="J50" s="201"/>
      <c r="K50" s="201"/>
      <c r="L50" s="202"/>
      <c r="M50" s="188"/>
      <c r="N50" s="189"/>
      <c r="O50" s="189"/>
      <c r="P50" s="189"/>
      <c r="Q50" s="190"/>
      <c r="R50"/>
      <c r="S50"/>
      <c r="T50" s="177" t="s">
        <v>14</v>
      </c>
      <c r="U50" s="178"/>
      <c r="V50" s="178"/>
      <c r="W50" s="178"/>
      <c r="X50" s="178"/>
      <c r="Y50" s="178"/>
      <c r="Z50" s="178"/>
      <c r="AA50" s="203">
        <v>0</v>
      </c>
      <c r="AB50" s="204"/>
      <c r="AC50" s="204"/>
      <c r="AD50" s="204"/>
      <c r="AE50" s="205"/>
      <c r="AF50" s="199"/>
      <c r="AG50" s="199"/>
      <c r="AH50" s="199"/>
      <c r="AI50" s="199"/>
      <c r="AJ50" s="199"/>
      <c r="AK50" s="18"/>
      <c r="AL50" s="36"/>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39" customHeight="1" x14ac:dyDescent="0.15">
      <c r="A51" s="177" t="s">
        <v>17</v>
      </c>
      <c r="B51" s="178"/>
      <c r="C51" s="178"/>
      <c r="D51" s="178"/>
      <c r="E51" s="178"/>
      <c r="F51" s="178"/>
      <c r="G51" s="179">
        <v>0</v>
      </c>
      <c r="H51" s="180"/>
      <c r="I51" s="180"/>
      <c r="J51" s="180"/>
      <c r="K51" s="180"/>
      <c r="L51" s="181"/>
      <c r="M51" s="199"/>
      <c r="N51" s="199"/>
      <c r="O51" s="199"/>
      <c r="P51" s="199"/>
      <c r="Q51" s="199"/>
      <c r="R51"/>
      <c r="S51"/>
      <c r="T51" s="177" t="s">
        <v>15</v>
      </c>
      <c r="U51" s="178"/>
      <c r="V51" s="178"/>
      <c r="W51" s="178"/>
      <c r="X51" s="178"/>
      <c r="Y51" s="178"/>
      <c r="Z51" s="178"/>
      <c r="AA51" s="203">
        <v>0</v>
      </c>
      <c r="AB51" s="204"/>
      <c r="AC51" s="204"/>
      <c r="AD51" s="204"/>
      <c r="AE51" s="205"/>
      <c r="AF51" s="199"/>
      <c r="AG51" s="199"/>
      <c r="AH51" s="199"/>
      <c r="AI51" s="199"/>
      <c r="AJ51" s="199"/>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9.5" customHeight="1" x14ac:dyDescent="0.15">
      <c r="A52" s="177" t="s">
        <v>18</v>
      </c>
      <c r="B52" s="178"/>
      <c r="C52" s="178"/>
      <c r="D52" s="178"/>
      <c r="E52" s="178"/>
      <c r="F52" s="178"/>
      <c r="G52" s="179">
        <v>0</v>
      </c>
      <c r="H52" s="180"/>
      <c r="I52" s="180"/>
      <c r="J52" s="180"/>
      <c r="K52" s="180"/>
      <c r="L52" s="181"/>
      <c r="M52" s="182"/>
      <c r="N52" s="183"/>
      <c r="O52" s="183"/>
      <c r="P52" s="183"/>
      <c r="Q52" s="184"/>
      <c r="R52"/>
      <c r="S52"/>
      <c r="T52"/>
      <c r="U52"/>
      <c r="V52"/>
      <c r="W52"/>
      <c r="X52"/>
      <c r="Y52"/>
      <c r="Z52"/>
      <c r="AA52"/>
      <c r="AB52"/>
      <c r="AC52"/>
      <c r="AD52"/>
      <c r="AE52"/>
      <c r="AF52"/>
      <c r="AG52"/>
      <c r="AH52"/>
      <c r="AI52"/>
      <c r="AJ52" s="159"/>
      <c r="AK52" s="36"/>
      <c r="AL52"/>
      <c r="AM52" s="43" t="s">
        <v>75</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39" customHeight="1" x14ac:dyDescent="0.15">
      <c r="A53" s="177" t="s">
        <v>8</v>
      </c>
      <c r="B53" s="178"/>
      <c r="C53" s="178"/>
      <c r="D53" s="178"/>
      <c r="E53" s="178"/>
      <c r="F53" s="178"/>
      <c r="G53" s="185">
        <f>G49+G50+G51+G52</f>
        <v>0</v>
      </c>
      <c r="H53" s="186"/>
      <c r="I53" s="186"/>
      <c r="J53" s="186"/>
      <c r="K53" s="186"/>
      <c r="L53" s="187"/>
      <c r="M53" s="188"/>
      <c r="N53" s="189"/>
      <c r="O53" s="189"/>
      <c r="P53" s="189"/>
      <c r="Q53" s="190"/>
      <c r="R53"/>
      <c r="S53"/>
      <c r="T53"/>
      <c r="U53"/>
      <c r="V53"/>
      <c r="W53"/>
      <c r="X53"/>
      <c r="Y53"/>
      <c r="Z53"/>
      <c r="AA53"/>
      <c r="AB53"/>
      <c r="AC53"/>
      <c r="AD53"/>
      <c r="AE53"/>
      <c r="AF53"/>
      <c r="AG53"/>
      <c r="AH53"/>
      <c r="AI53"/>
      <c r="AJ53"/>
      <c r="AK53"/>
      <c r="AL53"/>
      <c r="AM53" s="71"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9.5" customHeight="1" x14ac:dyDescent="0.15">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20" customFormat="1" ht="19.5" customHeight="1" x14ac:dyDescent="0.15">
      <c r="A55" s="8" t="s">
        <v>172</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20" customFormat="1" ht="19.5" customHeight="1" x14ac:dyDescent="0.15">
      <c r="A56" s="8" t="s">
        <v>173</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20" customFormat="1" ht="19.5" customHeight="1" x14ac:dyDescent="0.15">
      <c r="A57" s="8" t="s">
        <v>5</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20" customFormat="1" ht="19.5" customHeight="1" x14ac:dyDescent="0.15">
      <c r="A58" s="14" t="s">
        <v>20</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lSCQBQpCEsNB/HS9hzCF09ma3EX6B6cmAzyguSin1dgCJk6+81oS9oUGg35QO++3Ewds8pjx4lWg1QUq3yGsOw==" saltValue="6MucoUVr8lx2LQlJgEE98A==" spinCount="100000" sheet="1" formatRows="0" insertRows="0" deleteRows="0" selectLockedCells="1"/>
  <dataConsolidate/>
  <mergeCells count="122">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39 G44:H44"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51:L52 AA50:AE51 G49:L49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53" xr:uid="{00000000-0002-0000-0000-000004000000}"/>
    <dataValidation type="whole" imeMode="disabled" operator="greaterThanOrEqual" allowBlank="1" showInputMessage="1" showErrorMessage="1" sqref="AA49:AE49"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rowBreaks count="1" manualBreakCount="1">
    <brk id="41" max="36" man="1"/>
  </rowBreaks>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M35" sqref="M35"/>
    </sheetView>
  </sheetViews>
  <sheetFormatPr defaultRowHeight="13.5" x14ac:dyDescent="0.15"/>
  <cols>
    <col min="1" max="1" width="3.5" customWidth="1"/>
    <col min="2" max="2" width="15.5" customWidth="1"/>
    <col min="3" max="3" width="9.625" customWidth="1"/>
    <col min="4" max="4" width="18" bestFit="1" customWidth="1"/>
    <col min="5" max="5" width="10.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13.5" customWidth="1"/>
    <col min="14" max="14" width="20.5" customWidth="1"/>
    <col min="15" max="15" width="11.125" customWidth="1"/>
    <col min="16" max="17" width="16.125" customWidth="1"/>
    <col min="18" max="18" width="13.875" customWidth="1"/>
    <col min="19" max="25" width="12.5" customWidth="1"/>
  </cols>
  <sheetData>
    <row r="1" spans="1:25" s="67" customFormat="1" ht="53.1" customHeight="1" x14ac:dyDescent="0.15">
      <c r="A1" s="35" t="s">
        <v>11</v>
      </c>
      <c r="B1" s="35" t="s">
        <v>12</v>
      </c>
      <c r="C1" s="35" t="s">
        <v>137</v>
      </c>
      <c r="D1" s="35" t="s">
        <v>62</v>
      </c>
      <c r="E1" s="156" t="s">
        <v>27</v>
      </c>
      <c r="F1" s="35" t="s">
        <v>69</v>
      </c>
      <c r="G1" s="35" t="s">
        <v>63</v>
      </c>
      <c r="H1" s="65" t="s">
        <v>94</v>
      </c>
      <c r="I1" s="35" t="s">
        <v>67</v>
      </c>
      <c r="J1" s="35" t="s">
        <v>68</v>
      </c>
      <c r="K1" s="35" t="s">
        <v>60</v>
      </c>
      <c r="L1" s="35" t="s">
        <v>64</v>
      </c>
      <c r="M1" s="35" t="s">
        <v>61</v>
      </c>
      <c r="N1" s="35" t="s">
        <v>65</v>
      </c>
      <c r="O1" s="35" t="s">
        <v>66</v>
      </c>
      <c r="P1" s="35" t="s">
        <v>59</v>
      </c>
      <c r="Q1" s="35" t="s">
        <v>54</v>
      </c>
      <c r="R1" s="65" t="s">
        <v>74</v>
      </c>
      <c r="S1" s="35" t="s">
        <v>28</v>
      </c>
      <c r="T1" s="66" t="s">
        <v>55</v>
      </c>
      <c r="U1" s="35" t="s">
        <v>56</v>
      </c>
      <c r="V1" s="156" t="s">
        <v>76</v>
      </c>
      <c r="W1" s="156" t="s">
        <v>78</v>
      </c>
      <c r="X1" s="35" t="s">
        <v>77</v>
      </c>
      <c r="Y1" s="35" t="s">
        <v>79</v>
      </c>
    </row>
    <row r="2" spans="1:25" x14ac:dyDescent="0.15">
      <c r="A2" s="1">
        <v>1</v>
      </c>
      <c r="B2" s="1" t="s">
        <v>21</v>
      </c>
      <c r="C2" s="1">
        <v>1</v>
      </c>
      <c r="D2" s="1">
        <f>SUM(補助事業計画書②!AE16+補助事業計画書②!AE18)</f>
        <v>0</v>
      </c>
      <c r="E2" s="63">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8">
        <f>IF(F2&gt;E2,E2,F2)</f>
        <v>0</v>
      </c>
      <c r="H2" s="80">
        <f>G33</f>
        <v>0</v>
      </c>
      <c r="I2" s="1">
        <f>IF(補助事業計画書②!G36="☑",ROUNDDOWN(補助事業計画書②!AE16*3/4,0),ROUNDDOWN(補助事業計画書②!AE16*2/3,0))</f>
        <v>0</v>
      </c>
      <c r="J2" s="1">
        <f>H2-O2</f>
        <v>0</v>
      </c>
      <c r="K2" s="63">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3">
        <f>SUMIF(補助事業計画書②!A11:A15,"③ウェブサイト関連費",補助事業計画書②!AE11:AE15)</f>
        <v>0</v>
      </c>
      <c r="R2" s="79"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5" t="str">
        <f>IF((COUNTIF(補助事業計画書②!G34,"=☑")+
     COUNTIF(補助事業計画書②!G35,"=☑")+
     COUNTIF(補助事業計画書②!G36,"=☑")+
     COUNTIF(補助事業計画書②!G37,"=☑")+
     COUNTIF(補助事業計画書②!G38,"=☑")+
     COUNTIF(補助事業計画書②!G39,"=☑")=0),"×","○")</f>
        <v>×</v>
      </c>
      <c r="W2" s="155"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7" t="str">
        <f>IF(補助事業計画書②!G36="☑",IF(補助事業計画書②!G35="☑","○","×"),"○")</f>
        <v>○</v>
      </c>
      <c r="Y2" s="77" t="str">
        <f>IF(AND(V2="○",W2="○",X2="○"),"○","×")</f>
        <v>×</v>
      </c>
    </row>
    <row r="3" spans="1:25" x14ac:dyDescent="0.15">
      <c r="A3" s="1">
        <v>2</v>
      </c>
      <c r="B3" s="1" t="s">
        <v>10</v>
      </c>
      <c r="C3" s="1">
        <v>1</v>
      </c>
      <c r="D3" s="27"/>
      <c r="E3" s="27"/>
      <c r="G3" t="s">
        <v>98</v>
      </c>
      <c r="I3" t="s">
        <v>99</v>
      </c>
      <c r="J3" t="s">
        <v>100</v>
      </c>
      <c r="K3" t="s">
        <v>101</v>
      </c>
      <c r="L3" t="s">
        <v>102</v>
      </c>
      <c r="M3" t="s">
        <v>103</v>
      </c>
      <c r="V3" s="78"/>
      <c r="W3" s="78"/>
      <c r="X3" s="78"/>
      <c r="Y3" s="78"/>
    </row>
    <row r="4" spans="1:25" x14ac:dyDescent="0.15">
      <c r="A4" s="1">
        <v>3</v>
      </c>
      <c r="B4" s="1" t="s">
        <v>44</v>
      </c>
      <c r="C4" s="1">
        <v>1</v>
      </c>
      <c r="U4" s="17"/>
    </row>
    <row r="5" spans="1:25" x14ac:dyDescent="0.15">
      <c r="A5" s="1">
        <v>4</v>
      </c>
      <c r="B5" s="1" t="s">
        <v>45</v>
      </c>
      <c r="C5" s="83">
        <v>1</v>
      </c>
      <c r="D5" s="84"/>
      <c r="E5" s="85"/>
      <c r="F5" s="85"/>
      <c r="G5" s="85"/>
      <c r="H5" s="85"/>
      <c r="I5" s="85"/>
      <c r="J5" s="85"/>
      <c r="K5" s="85"/>
      <c r="L5" s="85"/>
      <c r="M5" s="85"/>
      <c r="N5" s="85"/>
      <c r="O5" s="85"/>
      <c r="P5" s="85"/>
      <c r="Q5" s="86"/>
      <c r="U5" s="17"/>
    </row>
    <row r="6" spans="1:25" x14ac:dyDescent="0.15">
      <c r="A6" s="1">
        <v>5</v>
      </c>
      <c r="B6" s="1" t="s">
        <v>46</v>
      </c>
      <c r="C6" s="83">
        <v>1</v>
      </c>
      <c r="D6" s="107" t="s">
        <v>115</v>
      </c>
      <c r="E6" s="106"/>
      <c r="F6" s="89"/>
      <c r="G6" s="90"/>
      <c r="H6" s="90"/>
      <c r="I6" s="90"/>
      <c r="J6" s="88"/>
      <c r="K6" s="88"/>
      <c r="L6" s="36"/>
      <c r="M6" s="36"/>
      <c r="N6" s="36"/>
      <c r="O6" s="36"/>
      <c r="P6" s="36"/>
      <c r="Q6" s="91"/>
    </row>
    <row r="7" spans="1:25" x14ac:dyDescent="0.15">
      <c r="A7" s="1">
        <v>6</v>
      </c>
      <c r="B7" s="1" t="s">
        <v>47</v>
      </c>
      <c r="C7" s="83">
        <v>1</v>
      </c>
      <c r="D7" s="87"/>
      <c r="E7" s="88"/>
      <c r="F7" s="88"/>
      <c r="G7" s="90"/>
      <c r="H7" s="90"/>
      <c r="I7" s="88"/>
      <c r="J7" s="88"/>
      <c r="K7" s="88"/>
      <c r="L7" s="88" t="s">
        <v>95</v>
      </c>
      <c r="M7" s="88"/>
      <c r="N7" s="88" t="s">
        <v>95</v>
      </c>
      <c r="O7" s="88"/>
      <c r="P7" s="88"/>
      <c r="Q7" s="91"/>
    </row>
    <row r="8" spans="1:25" x14ac:dyDescent="0.15">
      <c r="A8" s="1">
        <v>7</v>
      </c>
      <c r="B8" s="1" t="s">
        <v>48</v>
      </c>
      <c r="C8" s="83">
        <v>1</v>
      </c>
      <c r="D8" s="87"/>
      <c r="E8" s="88" t="s">
        <v>83</v>
      </c>
      <c r="F8" s="52"/>
      <c r="G8" s="90" t="s">
        <v>96</v>
      </c>
      <c r="H8" s="90" t="str">
        <f>IF(補助事業計画書②!G36="☑","3/4","2/3")</f>
        <v>2/3</v>
      </c>
      <c r="I8" s="88"/>
      <c r="J8" s="88"/>
      <c r="K8" s="88"/>
      <c r="L8" s="88" t="s">
        <v>81</v>
      </c>
      <c r="M8" s="88"/>
      <c r="N8" s="88" t="s">
        <v>82</v>
      </c>
      <c r="O8" s="88"/>
      <c r="P8" s="88"/>
      <c r="Q8" s="91"/>
    </row>
    <row r="9" spans="1:25" x14ac:dyDescent="0.15">
      <c r="A9" s="1">
        <v>8</v>
      </c>
      <c r="B9" s="1" t="s">
        <v>49</v>
      </c>
      <c r="C9" s="83">
        <v>1</v>
      </c>
      <c r="D9" s="87"/>
      <c r="E9" s="88"/>
      <c r="F9" s="88"/>
      <c r="G9" s="90" t="s">
        <v>97</v>
      </c>
      <c r="H9" s="92" t="str">
        <f xml:space="preserve">  "(1)×補助率 " &amp; H8 &amp;"(※)以内(円未満切捨て)"</f>
        <v>(1)×補助率 2/3(※)以内(円未満切捨て)</v>
      </c>
      <c r="I9" s="88"/>
      <c r="J9" s="88"/>
      <c r="K9" s="88"/>
      <c r="L9" s="88"/>
      <c r="M9" s="88"/>
      <c r="N9" s="88"/>
      <c r="O9" s="88"/>
      <c r="P9" s="88"/>
      <c r="Q9" s="91"/>
    </row>
    <row r="10" spans="1:25" x14ac:dyDescent="0.15">
      <c r="A10" s="1">
        <v>9</v>
      </c>
      <c r="B10" s="1" t="s">
        <v>50</v>
      </c>
      <c r="C10" s="83">
        <v>1</v>
      </c>
      <c r="D10" s="87"/>
      <c r="E10" s="88"/>
      <c r="F10" s="88"/>
      <c r="G10" s="90" t="s">
        <v>97</v>
      </c>
      <c r="H10" s="93" t="str">
        <f>"((6)の1/4を上限(最大50万円))、(c)×補助率 " &amp; H8 &amp; " (※)以内(円未満切捨て)"</f>
        <v>((6)の1/4を上限(最大50万円))、(c)×補助率 2/3 (※)以内(円未満切捨て)</v>
      </c>
      <c r="I10" s="90"/>
      <c r="J10" s="88"/>
      <c r="K10" s="88"/>
      <c r="L10" s="88"/>
      <c r="M10" s="88"/>
      <c r="N10" s="88" t="s">
        <v>84</v>
      </c>
      <c r="O10" s="88"/>
      <c r="P10" s="88" t="s">
        <v>85</v>
      </c>
      <c r="Q10" s="91"/>
    </row>
    <row r="11" spans="1:25" ht="13.15" customHeight="1" x14ac:dyDescent="0.15">
      <c r="A11" s="1">
        <v>10</v>
      </c>
      <c r="B11" s="1" t="s">
        <v>51</v>
      </c>
      <c r="C11" s="83">
        <v>2</v>
      </c>
      <c r="D11" s="87"/>
      <c r="E11" s="289" t="s">
        <v>134</v>
      </c>
      <c r="F11" s="53" t="s">
        <v>179</v>
      </c>
      <c r="G11" s="116" t="str">
        <f>IF(補助事業計画書②!G36="☑","a*3/4","a*2/3")</f>
        <v>a*2/3</v>
      </c>
      <c r="H11" s="59" t="str">
        <f>"(" &amp; IF(補助事業計画書②!G36="☑","a*3/4","a*2/3") &amp; ") /3"</f>
        <v>(a*2/3) /3</v>
      </c>
      <c r="I11" s="54" t="s">
        <v>86</v>
      </c>
      <c r="J11" s="88"/>
      <c r="K11" s="88"/>
      <c r="L11" s="54" t="s">
        <v>87</v>
      </c>
      <c r="M11" s="88"/>
      <c r="N11" s="54" t="s">
        <v>87</v>
      </c>
      <c r="O11" s="294" t="s">
        <v>88</v>
      </c>
      <c r="P11" s="54" t="s">
        <v>87</v>
      </c>
      <c r="Q11" s="91"/>
    </row>
    <row r="12" spans="1:25" x14ac:dyDescent="0.15">
      <c r="A12" s="28">
        <v>11</v>
      </c>
      <c r="B12" s="1" t="s">
        <v>52</v>
      </c>
      <c r="C12" s="83">
        <v>1</v>
      </c>
      <c r="D12" s="87">
        <v>12</v>
      </c>
      <c r="E12" s="289"/>
      <c r="F12" s="286">
        <f>K2</f>
        <v>0</v>
      </c>
      <c r="G12" s="57">
        <f>IF(補助事業計画書②!G36="☑",ROUNDDOWN(F12*3/4,0),ROUNDDOWN(F12*2/3,0))</f>
        <v>0</v>
      </c>
      <c r="H12" s="56">
        <f>ROUNDDOWN(G12/3,0)</f>
        <v>0</v>
      </c>
      <c r="I12" s="56">
        <f>G12</f>
        <v>0</v>
      </c>
      <c r="J12" s="94"/>
      <c r="K12" s="94"/>
      <c r="L12" s="56">
        <f>IF(I20&lt;=G20,I12,"")</f>
        <v>0</v>
      </c>
      <c r="M12" s="88"/>
      <c r="N12" s="56" t="str">
        <f>IF(I20&lt;=G20,"",IF(I12&gt;G20,G20,I12))</f>
        <v/>
      </c>
      <c r="O12" s="294"/>
      <c r="P12" s="56" t="str">
        <f>IF(I20&lt;=G20,"",G20-P16)</f>
        <v/>
      </c>
      <c r="Q12" s="91"/>
    </row>
    <row r="13" spans="1:25" x14ac:dyDescent="0.15">
      <c r="A13" s="104"/>
      <c r="B13" s="36"/>
      <c r="C13" s="36"/>
      <c r="D13" s="87">
        <v>13</v>
      </c>
      <c r="E13" s="289"/>
      <c r="F13" s="286"/>
      <c r="G13" s="122"/>
      <c r="H13" s="120">
        <f>ROUNDDOWN(G12/3,3)</f>
        <v>0</v>
      </c>
      <c r="I13" s="56"/>
      <c r="J13" s="94"/>
      <c r="K13" s="94"/>
      <c r="L13" s="56"/>
      <c r="M13" s="88"/>
      <c r="N13" s="56"/>
      <c r="O13" s="294"/>
      <c r="P13" s="56"/>
      <c r="Q13" s="91"/>
    </row>
    <row r="14" spans="1:25" x14ac:dyDescent="0.15">
      <c r="A14" s="104"/>
      <c r="B14" s="36"/>
      <c r="C14" s="36"/>
      <c r="D14" s="87">
        <v>14</v>
      </c>
      <c r="E14" s="289"/>
      <c r="F14" s="286"/>
      <c r="G14" s="122">
        <f>IF(補助事業計画書②!G36="☑",ROUNDDOWN(F12*3/4,3),ROUNDDOWN(F12*2/3,3)) - G12</f>
        <v>0</v>
      </c>
      <c r="H14" s="120">
        <f>ROUNDDOWN(G12/3,3) - H12</f>
        <v>0</v>
      </c>
      <c r="I14" s="120">
        <f>G14</f>
        <v>0</v>
      </c>
      <c r="J14" s="94"/>
      <c r="K14" s="94"/>
      <c r="L14" s="56"/>
      <c r="M14" s="88"/>
      <c r="N14" s="56"/>
      <c r="O14" s="294"/>
      <c r="P14" s="56"/>
      <c r="Q14" s="91"/>
    </row>
    <row r="15" spans="1:25" ht="28.15" customHeight="1" x14ac:dyDescent="0.15">
      <c r="D15" s="87">
        <v>15</v>
      </c>
      <c r="E15" s="287" t="s">
        <v>133</v>
      </c>
      <c r="F15" s="58" t="s">
        <v>178</v>
      </c>
      <c r="G15" s="55" t="str">
        <f>IF(補助事業計画書②!G36="☑","c*3/4","c*2/3")</f>
        <v>c*2/3</v>
      </c>
      <c r="H15" s="59" t="str">
        <f>IF(補助事業計画書②!G36="☑","a*1/4","a*2/9")</f>
        <v>a*2/9</v>
      </c>
      <c r="I15" s="162" t="s">
        <v>185</v>
      </c>
      <c r="J15" s="59" t="s">
        <v>89</v>
      </c>
      <c r="K15" s="88"/>
      <c r="L15" s="59" t="s">
        <v>90</v>
      </c>
      <c r="M15" s="88"/>
      <c r="N15" s="59" t="s">
        <v>90</v>
      </c>
      <c r="O15" s="294"/>
      <c r="P15" s="59" t="s">
        <v>90</v>
      </c>
      <c r="Q15" s="91"/>
    </row>
    <row r="16" spans="1:25" x14ac:dyDescent="0.15">
      <c r="D16" s="87">
        <v>16</v>
      </c>
      <c r="E16" s="288"/>
      <c r="F16" s="286">
        <f>Q2</f>
        <v>0</v>
      </c>
      <c r="G16" s="57">
        <f>IF(補助事業計画書②!G36="☑",ROUNDDOWN(F16*3/4,0),ROUNDDOWN(F16*2/3,0))</f>
        <v>0</v>
      </c>
      <c r="H16" s="129">
        <f>IF(補助事業計画書②!G36="☑",ROUNDDOWN(F12*1/4,0),ROUNDDOWN(F12*2/9,0))</f>
        <v>0</v>
      </c>
      <c r="I16" s="56">
        <f>IF(J16&lt;500000,J16,500000)</f>
        <v>0</v>
      </c>
      <c r="J16" s="56">
        <f>IF(IF(G16&gt;H12,H12,G16)&gt;H20,H20,IF(G16&gt;H12,H12,G16))</f>
        <v>0</v>
      </c>
      <c r="K16" s="94"/>
      <c r="L16" s="56">
        <f>IF(I20&lt;=G20,I16,"")</f>
        <v>0</v>
      </c>
      <c r="M16" s="89" t="str">
        <f>IF(L16="","",IF(L16*4&gt;L20,"×","〇"))</f>
        <v>〇</v>
      </c>
      <c r="N16" s="56" t="str">
        <f>IF(I20&lt;=G20,"",G20-N12)</f>
        <v/>
      </c>
      <c r="O16" s="294"/>
      <c r="P16" s="56" t="str">
        <f>IF(I20&lt;=G20,"",IF(ROUNDDOWN(G20/4,0)&gt;I16,I16,ROUNDDOWN(G20/4,0)))</f>
        <v/>
      </c>
      <c r="Q16" s="91"/>
    </row>
    <row r="17" spans="4:17" x14ac:dyDescent="0.15">
      <c r="D17" s="87">
        <v>17</v>
      </c>
      <c r="E17" s="288"/>
      <c r="F17" s="286"/>
      <c r="G17" s="122">
        <f>IF(補助事業計画書②!G36="☑",ROUNDDOWN(F16*3/4,3),ROUNDDOWN(F16*2/3,3))</f>
        <v>0</v>
      </c>
      <c r="H17" s="130">
        <f>IF(補助事業計画書②!G36="☑",ROUNDDOWN(F12*1/4,3),ROUNDDOWN(F12*2/9,3))</f>
        <v>0</v>
      </c>
      <c r="I17" s="120">
        <f>IF(J16&lt;500000,J17,500000)</f>
        <v>0</v>
      </c>
      <c r="J17" s="120">
        <f>IF(IF(G17&gt;H13,H13,G17)&gt;H21,H21,IF(G17&gt;H13,H13,G17))</f>
        <v>0</v>
      </c>
      <c r="K17" s="94"/>
      <c r="L17" s="56"/>
      <c r="M17" s="89"/>
      <c r="N17" s="56"/>
      <c r="O17" s="294"/>
      <c r="P17" s="56"/>
      <c r="Q17" s="91"/>
    </row>
    <row r="18" spans="4:17" x14ac:dyDescent="0.15">
      <c r="D18" s="87">
        <v>18</v>
      </c>
      <c r="E18" s="288"/>
      <c r="F18" s="286"/>
      <c r="G18" s="122">
        <f>IF(補助事業計画書②!G36="☑",ROUNDDOWN(F16*3/4,3),ROUNDDOWN(F16*2/3,3))-G16</f>
        <v>0</v>
      </c>
      <c r="H18" s="130">
        <f>IF(補助事業計画書②!G36="☑",ROUNDDOWN(F12*1/4,3),ROUNDDOWN(F12*2/9,3)) - H16</f>
        <v>0</v>
      </c>
      <c r="I18" s="120">
        <f>IF(J16&lt;500000,J18,0)</f>
        <v>0</v>
      </c>
      <c r="J18" s="120">
        <f>IF(IF(G17&gt;H13,H13,G17)&gt;H21,H22,IF(G17&gt;H13,H14,G18))</f>
        <v>0</v>
      </c>
      <c r="K18" s="94"/>
      <c r="L18" s="56"/>
      <c r="M18" s="89"/>
      <c r="N18" s="56"/>
      <c r="O18" s="294"/>
      <c r="P18" s="56"/>
      <c r="Q18" s="91"/>
    </row>
    <row r="19" spans="4:17" x14ac:dyDescent="0.15">
      <c r="D19" s="87">
        <v>19</v>
      </c>
      <c r="E19" s="88"/>
      <c r="F19" s="88"/>
      <c r="G19" s="117" t="s">
        <v>181</v>
      </c>
      <c r="H19" s="59" t="s">
        <v>91</v>
      </c>
      <c r="I19" s="118" t="s">
        <v>92</v>
      </c>
      <c r="J19" s="161" t="s">
        <v>93</v>
      </c>
      <c r="K19" s="88"/>
      <c r="L19" s="60" t="s">
        <v>93</v>
      </c>
      <c r="M19" s="88"/>
      <c r="N19" s="60" t="s">
        <v>93</v>
      </c>
      <c r="O19" s="294"/>
      <c r="P19" s="60" t="s">
        <v>93</v>
      </c>
      <c r="Q19" s="91"/>
    </row>
    <row r="20" spans="4:17" x14ac:dyDescent="0.15">
      <c r="D20" s="87">
        <v>20</v>
      </c>
      <c r="E20" s="88"/>
      <c r="F20" s="88"/>
      <c r="G20" s="286">
        <f>E2</f>
        <v>500000</v>
      </c>
      <c r="H20" s="61">
        <f>ROUNDDOWN(G20/4,0)</f>
        <v>125000</v>
      </c>
      <c r="I20" s="119">
        <f>I12+I16</f>
        <v>0</v>
      </c>
      <c r="J20" s="127">
        <f>IF(G20&gt;I20+J22,I20+J22,G20)</f>
        <v>0</v>
      </c>
      <c r="K20" s="62"/>
      <c r="L20" s="56">
        <f>IF(I20&lt;=G20,I20,"")</f>
        <v>0</v>
      </c>
      <c r="M20" s="88"/>
      <c r="N20" s="56" t="str">
        <f>IF(I20&lt;=G20,"",N12+N16)</f>
        <v/>
      </c>
      <c r="O20" s="294"/>
      <c r="P20" s="56" t="str">
        <f>IF(I20&lt;=G20,"",P12+P16)</f>
        <v/>
      </c>
      <c r="Q20" s="91"/>
    </row>
    <row r="21" spans="4:17" x14ac:dyDescent="0.15">
      <c r="D21" s="87">
        <v>21</v>
      </c>
      <c r="E21" s="88"/>
      <c r="F21" s="88"/>
      <c r="G21" s="286"/>
      <c r="H21" s="121">
        <f>ROUNDDOWN(G20/4,3)</f>
        <v>125000</v>
      </c>
      <c r="I21" s="148"/>
      <c r="J21" s="128"/>
      <c r="K21" s="62"/>
      <c r="L21" s="90"/>
      <c r="M21" s="88"/>
      <c r="N21" s="90"/>
      <c r="O21" s="115"/>
      <c r="P21" s="90"/>
      <c r="Q21" s="91"/>
    </row>
    <row r="22" spans="4:17" x14ac:dyDescent="0.15">
      <c r="D22" s="87">
        <v>22</v>
      </c>
      <c r="E22" s="88"/>
      <c r="F22" s="88"/>
      <c r="G22" s="286"/>
      <c r="H22" s="121">
        <f>ROUNDDOWN(G20/4,3) - H20</f>
        <v>0</v>
      </c>
      <c r="I22" s="123">
        <f>I14+I18</f>
        <v>0</v>
      </c>
      <c r="J22" s="160">
        <f>IF(I20&lt;G20,IF(I22&gt;=1,1,0),0)</f>
        <v>0</v>
      </c>
      <c r="K22" s="62" t="s">
        <v>135</v>
      </c>
      <c r="L22" s="90"/>
      <c r="M22" s="88"/>
      <c r="N22" s="90"/>
      <c r="O22" s="115"/>
      <c r="P22" s="90"/>
      <c r="Q22" s="91"/>
    </row>
    <row r="23" spans="4:17" x14ac:dyDescent="0.15">
      <c r="D23" s="87">
        <v>23</v>
      </c>
      <c r="E23" s="96"/>
      <c r="F23" s="96"/>
      <c r="G23" s="97"/>
      <c r="H23" s="97"/>
      <c r="I23" s="97"/>
      <c r="J23" s="96"/>
      <c r="K23" s="96"/>
      <c r="L23" s="96"/>
      <c r="M23" s="96"/>
      <c r="N23" s="96"/>
      <c r="O23" s="96"/>
      <c r="P23" s="96"/>
      <c r="Q23" s="98"/>
    </row>
    <row r="24" spans="4:17" x14ac:dyDescent="0.15">
      <c r="D24" s="84"/>
      <c r="E24" s="99"/>
      <c r="F24" s="99"/>
      <c r="G24" s="100"/>
      <c r="H24" s="100"/>
      <c r="I24" s="100"/>
      <c r="J24" s="99"/>
      <c r="K24" s="101"/>
      <c r="L24" s="51"/>
      <c r="M24" s="51"/>
      <c r="N24" s="51"/>
      <c r="O24" s="51"/>
      <c r="P24" s="51"/>
    </row>
    <row r="25" spans="4:17" x14ac:dyDescent="0.15">
      <c r="D25" s="107" t="s">
        <v>116</v>
      </c>
      <c r="E25" s="36"/>
      <c r="F25" s="88"/>
      <c r="G25" s="88"/>
      <c r="H25" s="90"/>
      <c r="I25" s="90"/>
      <c r="J25" s="90"/>
      <c r="K25" s="108"/>
      <c r="L25" s="51"/>
      <c r="M25" s="51"/>
      <c r="N25" s="51"/>
      <c r="O25" s="51"/>
      <c r="P25" s="51"/>
      <c r="Q25" s="51"/>
    </row>
    <row r="26" spans="4:17" x14ac:dyDescent="0.15">
      <c r="D26" s="107"/>
      <c r="E26" s="36"/>
      <c r="F26" s="88"/>
      <c r="G26" s="88"/>
      <c r="H26" s="90"/>
      <c r="I26" s="90"/>
      <c r="J26" s="90"/>
      <c r="K26" s="108"/>
      <c r="L26" s="51"/>
      <c r="M26" s="51"/>
      <c r="N26" s="51"/>
      <c r="O26" s="51"/>
      <c r="P26" s="51"/>
      <c r="Q26" s="51"/>
    </row>
    <row r="27" spans="4:17" x14ac:dyDescent="0.15">
      <c r="D27" s="87"/>
      <c r="E27" s="102" t="s">
        <v>75</v>
      </c>
      <c r="F27" s="88"/>
      <c r="G27" s="88" t="s">
        <v>84</v>
      </c>
      <c r="H27" s="88"/>
      <c r="I27" s="88" t="s">
        <v>85</v>
      </c>
      <c r="J27" s="90"/>
      <c r="K27" s="108"/>
      <c r="L27" s="51"/>
      <c r="M27" s="51"/>
      <c r="N27" s="51"/>
      <c r="O27" s="51"/>
      <c r="P27" s="51"/>
      <c r="Q27" s="51"/>
    </row>
    <row r="28" spans="4:17" x14ac:dyDescent="0.15">
      <c r="D28" s="87"/>
      <c r="E28" s="54" t="s">
        <v>87</v>
      </c>
      <c r="F28" s="88"/>
      <c r="G28" s="54" t="s">
        <v>87</v>
      </c>
      <c r="H28" s="294" t="s">
        <v>88</v>
      </c>
      <c r="I28" s="54" t="s">
        <v>87</v>
      </c>
      <c r="J28" s="90"/>
      <c r="K28" s="108"/>
      <c r="L28" s="51"/>
      <c r="M28" s="51"/>
      <c r="N28" s="51"/>
      <c r="O28" s="51"/>
      <c r="P28" s="51"/>
      <c r="Q28" s="51"/>
    </row>
    <row r="29" spans="4:17" ht="17.25" x14ac:dyDescent="0.15">
      <c r="D29" s="87">
        <v>29</v>
      </c>
      <c r="E29" s="64" t="str">
        <f>IF(補助事業計画書②!AE17=0,"×",IF(補助事業計画書②!AE17&lt;I29,"×",IF(補助事業計画書②!AE17&gt;G29,"×","〇")))</f>
        <v>×</v>
      </c>
      <c r="F29" s="36">
        <v>29</v>
      </c>
      <c r="G29" s="56">
        <f>IF(I20&lt;=G20,I12,IF(I12&gt;G20,G20,I12))</f>
        <v>0</v>
      </c>
      <c r="H29" s="294"/>
      <c r="I29" s="56">
        <f>IF(I20&lt;=G20,I12,G20-P16)</f>
        <v>0</v>
      </c>
      <c r="J29" s="90"/>
      <c r="K29" s="108"/>
      <c r="L29" s="51"/>
      <c r="M29" s="51"/>
      <c r="N29" s="51"/>
      <c r="O29" s="51"/>
      <c r="P29" s="51"/>
      <c r="Q29" s="51"/>
    </row>
    <row r="30" spans="4:17" x14ac:dyDescent="0.15">
      <c r="D30" s="87"/>
      <c r="E30" s="59" t="s">
        <v>90</v>
      </c>
      <c r="F30" s="36"/>
      <c r="G30" s="59" t="s">
        <v>90</v>
      </c>
      <c r="H30" s="294"/>
      <c r="I30" s="59" t="s">
        <v>90</v>
      </c>
      <c r="J30" s="36"/>
      <c r="K30" s="91"/>
    </row>
    <row r="31" spans="4:17" ht="17.25" x14ac:dyDescent="0.15">
      <c r="D31" s="87">
        <v>30</v>
      </c>
      <c r="E31" s="64" t="str">
        <f>IF(補助事業計画書②!AE19&gt;I31,"×",IF(補助事業計画書②!AE19&lt;G31,"×","〇"))</f>
        <v>〇</v>
      </c>
      <c r="F31" s="36">
        <v>30</v>
      </c>
      <c r="G31" s="56">
        <f>IF(I20&lt;=G20,I16,G20-N12)</f>
        <v>0</v>
      </c>
      <c r="H31" s="294"/>
      <c r="I31" s="56">
        <f>IF(I20&lt;=G20,I16,IF(ROUNDDOWN(G20/4,0)&gt;I16,I16,ROUNDDOWN(G20/4,0)))</f>
        <v>0</v>
      </c>
      <c r="J31" s="36"/>
      <c r="K31" s="91"/>
    </row>
    <row r="32" spans="4:17" x14ac:dyDescent="0.15">
      <c r="D32" s="87"/>
      <c r="E32" s="60" t="s">
        <v>93</v>
      </c>
      <c r="F32" s="36"/>
      <c r="G32" s="60" t="s">
        <v>93</v>
      </c>
      <c r="H32" s="294"/>
      <c r="I32" s="60" t="s">
        <v>93</v>
      </c>
      <c r="J32" s="36"/>
      <c r="K32" s="91"/>
    </row>
    <row r="33" spans="4:11" ht="17.25" x14ac:dyDescent="0.15">
      <c r="D33" s="87">
        <v>33</v>
      </c>
      <c r="E33" s="64" t="s">
        <v>142</v>
      </c>
      <c r="F33" s="36">
        <v>33</v>
      </c>
      <c r="G33" s="56">
        <f>IF(I20&lt;=G20,I20,N12+N16)</f>
        <v>0</v>
      </c>
      <c r="H33" s="294"/>
      <c r="I33" s="56">
        <f>IF(I20&lt;=G20,I20,I29+I31)</f>
        <v>0</v>
      </c>
      <c r="J33" s="36"/>
      <c r="K33" s="91"/>
    </row>
    <row r="34" spans="4:11" ht="17.25" x14ac:dyDescent="0.15">
      <c r="D34" s="103" t="s">
        <v>74</v>
      </c>
      <c r="E34" s="64" t="str">
        <f>IF(補助事業計画書②!AE17="","×",IF(補助事業計画書②!AE17=0,"×",IF(補助事業計画書②!AE21&lt;補助事業計画書②!AE19*4,"×","〇")))</f>
        <v>×</v>
      </c>
      <c r="F34" s="36"/>
      <c r="G34" s="36"/>
      <c r="H34" s="36"/>
      <c r="I34" s="36"/>
      <c r="J34" s="36"/>
      <c r="K34" s="91"/>
    </row>
    <row r="35" spans="4:11" x14ac:dyDescent="0.15">
      <c r="D35" s="87"/>
      <c r="E35" s="104"/>
      <c r="F35" s="36"/>
      <c r="G35" s="36"/>
      <c r="H35" s="36"/>
      <c r="I35" s="36"/>
      <c r="J35" s="36"/>
      <c r="K35" s="91"/>
    </row>
    <row r="36" spans="4:11" x14ac:dyDescent="0.15">
      <c r="D36" s="87"/>
      <c r="E36" s="36"/>
      <c r="F36" s="36"/>
      <c r="G36" s="1" t="s">
        <v>104</v>
      </c>
      <c r="H36" s="1"/>
      <c r="I36" s="292" t="s">
        <v>111</v>
      </c>
      <c r="J36" s="293"/>
      <c r="K36" s="91"/>
    </row>
    <row r="37" spans="4:11" ht="13.5" customHeight="1" x14ac:dyDescent="0.15">
      <c r="D37" s="158" t="s">
        <v>118</v>
      </c>
      <c r="E37" s="157" t="str">
        <f>IF(OR(補助事業計画書②!G35="☑",
       補助事業計画書②!G36="☑",
       補助事業計画書②!G37="☑",
       補助事業計画書②!G38="☑",
       補助事業計画書②!G39="☑"),
       IF(補助事業計画書②!G44="☑","250万","200万"),
       IF(補助事業計画書②!G44="☑","100万","50万")
   )</f>
        <v>50万</v>
      </c>
      <c r="F37" s="111" t="s">
        <v>151</v>
      </c>
      <c r="G37" s="1" t="s">
        <v>105</v>
      </c>
      <c r="H37" s="81">
        <f>K2</f>
        <v>0</v>
      </c>
      <c r="I37" s="290" t="s">
        <v>112</v>
      </c>
      <c r="J37" s="291"/>
      <c r="K37" s="91"/>
    </row>
    <row r="38" spans="4:11" x14ac:dyDescent="0.15">
      <c r="D38" s="87" t="s">
        <v>156</v>
      </c>
      <c r="E38" s="125" t="str">
        <f>IF(V2="×","",DBCS(E37) &amp; "円")</f>
        <v/>
      </c>
      <c r="F38" s="111" t="s">
        <v>152</v>
      </c>
      <c r="G38" s="1" t="s">
        <v>106</v>
      </c>
      <c r="H38" s="56">
        <f>補助事業計画書②!$AE$17</f>
        <v>0</v>
      </c>
      <c r="I38" s="109">
        <f>IF(AND(H37=0,H38=0),0,IF(OR(H37=0,H37=""),"",ROUNDDOWN(H38*100/H37,2)))</f>
        <v>0</v>
      </c>
      <c r="J38" s="1" t="str">
        <f>IF(補助事業計画書②!AE17="","",IF(I38="","",TEXT(I38,"##0.00")&amp;"%"))</f>
        <v/>
      </c>
      <c r="K38" s="91"/>
    </row>
    <row r="39" spans="4:11" x14ac:dyDescent="0.15">
      <c r="D39" s="87" t="s">
        <v>157</v>
      </c>
      <c r="E39" s="90" t="str">
        <f>H8</f>
        <v>2/3</v>
      </c>
      <c r="F39" s="111" t="s">
        <v>136</v>
      </c>
      <c r="G39" s="1" t="s">
        <v>108</v>
      </c>
      <c r="H39" s="81">
        <f>Q2</f>
        <v>0</v>
      </c>
      <c r="I39" s="290" t="s">
        <v>113</v>
      </c>
      <c r="J39" s="291"/>
      <c r="K39" s="91"/>
    </row>
    <row r="40" spans="4:11" x14ac:dyDescent="0.15">
      <c r="D40" s="87" t="s">
        <v>156</v>
      </c>
      <c r="E40" s="125" t="str">
        <f>IF(V2="×","",DBCS(E39) )</f>
        <v/>
      </c>
      <c r="F40" s="111" t="s">
        <v>153</v>
      </c>
      <c r="G40" s="1" t="s">
        <v>107</v>
      </c>
      <c r="H40" s="110">
        <f>H42-H38</f>
        <v>0</v>
      </c>
      <c r="I40" s="109" t="str">
        <f>IF(H41=0,"",IF(AND(H39=0,H40=0),0,IF(OR(H39=0,H39=""),"",ROUNDDOWN(H40*100/H39,2))))</f>
        <v/>
      </c>
      <c r="J40" s="1" t="str">
        <f>IF(補助事業計画書②!AE17="","",IF(I40="","",TEXT(I40,"##0.00")&amp;"%"))</f>
        <v/>
      </c>
      <c r="K40" s="91"/>
    </row>
    <row r="41" spans="4:11" x14ac:dyDescent="0.15">
      <c r="D41" s="87"/>
      <c r="E41" s="36"/>
      <c r="F41" s="111" t="s">
        <v>154</v>
      </c>
      <c r="G41" s="82" t="s">
        <v>109</v>
      </c>
      <c r="H41" s="81">
        <f>D2</f>
        <v>0</v>
      </c>
      <c r="I41" s="290" t="s">
        <v>114</v>
      </c>
      <c r="J41" s="291"/>
      <c r="K41" s="91"/>
    </row>
    <row r="42" spans="4:11" x14ac:dyDescent="0.15">
      <c r="D42" s="87"/>
      <c r="E42" s="36"/>
      <c r="F42" s="111" t="s">
        <v>155</v>
      </c>
      <c r="G42" s="1" t="s">
        <v>110</v>
      </c>
      <c r="H42" s="81">
        <f>H2</f>
        <v>0</v>
      </c>
      <c r="I42" s="109" t="str">
        <f>IF(H41=0,"",IF(H40=0,0,IF(OR(H42=0,H42="",H39=0,H39=""),"",ROUNDDOWN(H40*100/H42,2))))</f>
        <v/>
      </c>
      <c r="J42" s="1" t="str">
        <f>IF(補助事業計画書②!AE17="","",IF(I42="","",TEXT(I42,"##0.00") &amp; "%"))</f>
        <v/>
      </c>
      <c r="K42" s="91"/>
    </row>
    <row r="43" spans="4:11" x14ac:dyDescent="0.15">
      <c r="D43" s="95"/>
      <c r="E43" s="105"/>
      <c r="F43" s="105"/>
      <c r="G43" s="105"/>
      <c r="H43" s="105"/>
      <c r="I43" s="105"/>
      <c r="J43" s="105"/>
      <c r="K43" s="98"/>
    </row>
    <row r="44" spans="4:11" x14ac:dyDescent="0.15">
      <c r="D44" s="84"/>
      <c r="E44" s="85"/>
      <c r="F44" s="85"/>
      <c r="G44" s="85"/>
      <c r="H44" s="85"/>
      <c r="I44" s="85"/>
      <c r="J44" s="85"/>
      <c r="K44" s="86"/>
    </row>
    <row r="45" spans="4:11" x14ac:dyDescent="0.15">
      <c r="D45" s="107" t="s">
        <v>140</v>
      </c>
      <c r="E45" s="36"/>
      <c r="F45" s="36"/>
      <c r="G45" s="36"/>
      <c r="H45" s="36"/>
      <c r="I45" s="36"/>
      <c r="J45" s="36"/>
      <c r="K45" s="91"/>
    </row>
    <row r="46" spans="4:11" x14ac:dyDescent="0.15">
      <c r="D46" s="126" t="s">
        <v>141</v>
      </c>
      <c r="E46" s="125" t="str">
        <f>IF(J22=0,"","※")</f>
        <v/>
      </c>
      <c r="F46" s="36"/>
      <c r="G46" s="36"/>
      <c r="H46" s="36"/>
      <c r="I46" s="36"/>
      <c r="J46" s="36"/>
      <c r="K46" s="91"/>
    </row>
    <row r="47" spans="4:11" x14ac:dyDescent="0.15">
      <c r="D47" s="107"/>
      <c r="E47" s="36"/>
      <c r="F47" s="36"/>
      <c r="G47" s="36"/>
      <c r="H47" s="36"/>
      <c r="I47" s="36"/>
      <c r="J47" s="36"/>
      <c r="K47" s="91"/>
    </row>
    <row r="48" spans="4:11" x14ac:dyDescent="0.15">
      <c r="D48" s="87" t="s">
        <v>138</v>
      </c>
      <c r="E48" s="125" t="str">
        <f>IF(F16=0,"",IF(F12=0,"ウェブサイト関連費のみでの申請はできません",""))</f>
        <v/>
      </c>
      <c r="F48" s="36"/>
      <c r="G48" s="36"/>
      <c r="H48" s="36"/>
      <c r="I48" s="36"/>
      <c r="J48" s="36"/>
      <c r="K48" s="91"/>
    </row>
    <row r="49" spans="4:11" x14ac:dyDescent="0.15">
      <c r="D49" s="87" t="s">
        <v>139</v>
      </c>
      <c r="E49" s="125" t="str">
        <f>IF(U2="○","","設備処分費が、(5)補助対象経費合計の1/2を超えています")</f>
        <v/>
      </c>
      <c r="F49" s="36"/>
      <c r="G49" s="36"/>
      <c r="H49" s="36"/>
      <c r="I49" s="36"/>
      <c r="J49" s="36"/>
      <c r="K49" s="91"/>
    </row>
    <row r="50" spans="4:11" x14ac:dyDescent="0.15">
      <c r="D50" s="87"/>
      <c r="E50" s="36"/>
      <c r="F50" s="36"/>
      <c r="G50" s="36"/>
      <c r="H50" s="36"/>
      <c r="I50" s="36"/>
      <c r="J50" s="36"/>
      <c r="K50" s="91"/>
    </row>
    <row r="51" spans="4:11" x14ac:dyDescent="0.15">
      <c r="D51" s="87"/>
      <c r="E51" s="36"/>
      <c r="F51" s="36"/>
      <c r="G51" s="36"/>
      <c r="H51" s="36"/>
      <c r="I51" s="36"/>
      <c r="J51" s="36"/>
      <c r="K51" s="91"/>
    </row>
    <row r="52" spans="4:11" x14ac:dyDescent="0.15">
      <c r="D52" s="87"/>
      <c r="E52" s="36"/>
      <c r="F52" s="36"/>
      <c r="G52" s="36"/>
      <c r="H52" s="36"/>
      <c r="I52" s="36"/>
      <c r="J52" s="36"/>
      <c r="K52" s="91"/>
    </row>
    <row r="53" spans="4:11" x14ac:dyDescent="0.15">
      <c r="D53" s="87"/>
      <c r="E53" s="36"/>
      <c r="F53" s="36"/>
      <c r="G53" s="36"/>
      <c r="H53" s="36"/>
      <c r="I53" s="36"/>
      <c r="J53" s="36"/>
      <c r="K53" s="91"/>
    </row>
    <row r="54" spans="4:11" x14ac:dyDescent="0.15">
      <c r="D54" s="87"/>
      <c r="E54" s="36"/>
      <c r="F54" s="36"/>
      <c r="G54" s="36"/>
      <c r="H54" s="36"/>
      <c r="I54" s="36"/>
      <c r="J54" s="36"/>
      <c r="K54" s="91"/>
    </row>
    <row r="55" spans="4:11" x14ac:dyDescent="0.15">
      <c r="D55" s="138"/>
      <c r="E55" s="139"/>
      <c r="F55" s="139"/>
      <c r="G55" s="139"/>
      <c r="H55" s="139"/>
      <c r="I55" s="139"/>
      <c r="J55" s="139"/>
      <c r="K55" s="140"/>
    </row>
    <row r="56" spans="4:11" x14ac:dyDescent="0.15">
      <c r="D56" s="141" t="s">
        <v>145</v>
      </c>
      <c r="E56" s="137"/>
      <c r="F56" s="137"/>
      <c r="G56" s="137"/>
      <c r="H56" s="137"/>
      <c r="I56" s="137"/>
      <c r="J56" s="137"/>
      <c r="K56" s="142"/>
    </row>
    <row r="57" spans="4:11" x14ac:dyDescent="0.15">
      <c r="D57" s="147" t="str">
        <f>IF(補助事業計画書②!G53=補助事業計画書②!AE20,"〇","×")</f>
        <v>〇</v>
      </c>
      <c r="E57" s="137"/>
      <c r="F57" s="137"/>
      <c r="G57" s="137"/>
      <c r="H57" s="137"/>
      <c r="I57" s="137"/>
      <c r="J57" s="137"/>
      <c r="K57" s="142"/>
    </row>
    <row r="58" spans="4:11" x14ac:dyDescent="0.15">
      <c r="D58" s="143"/>
      <c r="E58" s="137"/>
      <c r="F58" s="137"/>
      <c r="G58" s="137"/>
      <c r="H58" s="137"/>
      <c r="I58" s="137"/>
      <c r="J58" s="137"/>
      <c r="K58" s="142"/>
    </row>
    <row r="59" spans="4:11" x14ac:dyDescent="0.15">
      <c r="D59" s="143"/>
      <c r="E59" s="137"/>
      <c r="F59" s="137"/>
      <c r="G59" s="137"/>
      <c r="H59" s="137"/>
      <c r="I59" s="137"/>
      <c r="J59" s="137"/>
      <c r="K59" s="142"/>
    </row>
    <row r="60" spans="4:11" x14ac:dyDescent="0.15">
      <c r="D60" s="144"/>
      <c r="E60" s="145"/>
      <c r="F60" s="145"/>
      <c r="G60" s="145"/>
      <c r="H60" s="145"/>
      <c r="I60" s="145"/>
      <c r="J60" s="145"/>
      <c r="K60" s="146"/>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9378C-7740-4896-A387-D6C60868199D}">
  <ds:schemaRefs>
    <ds:schemaRef ds:uri="http://purl.org/dc/dcmitype/"/>
    <ds:schemaRef ds:uri="http://schemas.microsoft.com/office/infopath/2007/PartnerControls"/>
    <ds:schemaRef ds:uri="e9a2f1ec-d622-4400-872a-35e0370e4027"/>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D8139F-DC2A-4563-A230-4C3369BA5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お客様</cp:lastModifiedBy>
  <cp:lastPrinted>2023-02-21T08:45:40Z</cp:lastPrinted>
  <dcterms:created xsi:type="dcterms:W3CDTF">2020-03-24T00:10:15Z</dcterms:created>
  <dcterms:modified xsi:type="dcterms:W3CDTF">2023-03-06T04:20:18Z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